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2. PROCESS\FORMULAIRES\MISSION\"/>
    </mc:Choice>
  </mc:AlternateContent>
  <bookViews>
    <workbookView xWindow="-120" yWindow="-120" windowWidth="29040" windowHeight="15840" activeTab="1"/>
  </bookViews>
  <sheets>
    <sheet name="DEMANDE DE MISSION" sheetId="4" r:id="rId1"/>
    <sheet name="DECLARATION FRAIS MISSION" sheetId="1" r:id="rId2"/>
    <sheet name="IJ" sheetId="2" r:id="rId3"/>
  </sheets>
  <definedNames>
    <definedName name="_xlnm._FilterDatabase" localSheetId="2" hidden="1">IJ!$A$1:$F$1</definedName>
    <definedName name="AVANCE">'DEMANDE DE MISSION'!$E$54</definedName>
    <definedName name="BASE_IJ">IJ!$A:$C</definedName>
    <definedName name="CENTRE_FINANCIER">'DEMANDE DE MISSION'!$D$4</definedName>
    <definedName name="DATE_DEBUT">'DEMANDE DE MISSION'!$D$10</definedName>
    <definedName name="DATE_FIN">'DEMANDE DE MISSION'!$D$12</definedName>
    <definedName name="DESTINATION_MISSION">'DEMANDE DE MISSION'!$D$9</definedName>
    <definedName name="HEURE_DEPART">'DEMANDE DE MISSION'!$F$10</definedName>
    <definedName name="HEURE_RETOUR">'DEMANDE DE MISSION'!$F$12</definedName>
    <definedName name="IJ_ETRANGER">'DEMANDE DE MISSION'!$I$20</definedName>
    <definedName name="LISTE_PAYS">IJ!$A:$A</definedName>
    <definedName name="MONTANT_AVANCE">'DECLARATION FRAIS MISSION'!$H$55</definedName>
    <definedName name="MOTIF_MISSION">'DEMANDE DE MISSION'!$D$8</definedName>
    <definedName name="NOM_AGENT">'DEMANDE DE MISSION'!$D$6</definedName>
    <definedName name="NUM_OMP">'DEMANDE DE MISSION'!$C$20</definedName>
    <definedName name="PAYS">'DEMANDE DE MISSION'!$C$19</definedName>
    <definedName name="PRENOM_AGENT">'DEMANDE DE MISSION'!$H$6</definedName>
    <definedName name="RESIDENCE_DEPART">'DEMANDE DE MISSION'!$H$11</definedName>
    <definedName name="RESIDENCE_RETOUR">'DEMANDE DE MISSION'!$H$13</definedName>
    <definedName name="SCHEMA_MISSION">'DEMANDE DE MISSION'!$E$17</definedName>
    <definedName name="TOTAL_AUTRES_FRAIS">'DECLARATION FRAIS MISSION'!$G$50</definedName>
    <definedName name="TOTAL_NUIT">'DECLARATION FRAIS MISSION'!$G$34</definedName>
    <definedName name="TOTAL_REPAS">'DECLARATION FRAIS MISSION'!$G$27</definedName>
    <definedName name="TOTAL_TC">'DECLARATION FRAIS MISSION'!$G$41</definedName>
    <definedName name="TOTAL_VEHICULE">'DECLARATION FRAIS MISSION'!$G$53</definedName>
    <definedName name="TYPE_MISSION">'DEMANDE DE MISSION'!$E$15</definedName>
    <definedName name="VERSION_FICHIER">'DEMANDE DE MISSION'!$A$63</definedName>
    <definedName name="_xlnm.Print_Area" localSheetId="0">'DEMANDE DE MISSION'!$A$1:$J$79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4" l="1"/>
  <c r="I20" i="4" s="1"/>
  <c r="F50" i="1"/>
  <c r="F41" i="1"/>
  <c r="H17" i="4" l="1"/>
  <c r="H6" i="1"/>
  <c r="C20" i="1"/>
  <c r="I25" i="1" l="1"/>
  <c r="N25" i="1" s="1"/>
  <c r="B55" i="1"/>
  <c r="F15" i="1"/>
  <c r="F14" i="1"/>
  <c r="C19" i="1" l="1"/>
  <c r="N19" i="1" l="1"/>
  <c r="E19" i="1"/>
  <c r="H20" i="1" s="1"/>
  <c r="F203" i="2"/>
  <c r="F204" i="2"/>
  <c r="F205" i="2"/>
  <c r="F206" i="2"/>
  <c r="F207" i="2"/>
  <c r="F208" i="2"/>
  <c r="F209" i="2"/>
  <c r="E203" i="2"/>
  <c r="E204" i="2"/>
  <c r="E205" i="2"/>
  <c r="E206" i="2"/>
  <c r="E207" i="2"/>
  <c r="E208" i="2"/>
  <c r="E209" i="2"/>
  <c r="D203" i="2"/>
  <c r="D204" i="2"/>
  <c r="D205" i="2"/>
  <c r="D206" i="2"/>
  <c r="D207" i="2"/>
  <c r="D208" i="2"/>
  <c r="D209" i="2"/>
  <c r="D4" i="1" l="1"/>
  <c r="F2" i="2" l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A39" i="1"/>
  <c r="N31" i="1" l="1"/>
  <c r="G40" i="1"/>
  <c r="G39" i="1"/>
  <c r="G37" i="1"/>
  <c r="G36" i="1"/>
  <c r="I37" i="1" l="1"/>
  <c r="I39" i="1"/>
  <c r="I40" i="1"/>
  <c r="I42" i="1"/>
  <c r="C57" i="4"/>
  <c r="C58" i="4"/>
  <c r="E17" i="1" l="1"/>
  <c r="E19" i="4"/>
  <c r="B19" i="4"/>
  <c r="B54" i="4"/>
  <c r="E26" i="1" l="1"/>
  <c r="E24" i="1"/>
  <c r="G24" i="1" s="1"/>
  <c r="E23" i="1"/>
  <c r="G29" i="1" s="1"/>
  <c r="C24" i="1"/>
  <c r="C23" i="1"/>
  <c r="F19" i="1"/>
  <c r="B19" i="1"/>
  <c r="D19" i="1"/>
  <c r="G19" i="4"/>
  <c r="H15" i="1"/>
  <c r="H14" i="1"/>
  <c r="D11" i="1"/>
  <c r="G9" i="1"/>
  <c r="D9" i="1"/>
  <c r="G30" i="1" l="1"/>
  <c r="I30" i="1" s="1"/>
  <c r="N32" i="1"/>
  <c r="N59" i="1"/>
  <c r="N57" i="1"/>
  <c r="G33" i="1" l="1"/>
  <c r="I29" i="1"/>
  <c r="E53" i="1"/>
  <c r="G47" i="1" l="1"/>
  <c r="I47" i="1" s="1"/>
  <c r="G46" i="1"/>
  <c r="I46" i="1" s="1"/>
  <c r="I33" i="1" l="1"/>
  <c r="D67" i="1" l="1"/>
  <c r="N33" i="1" l="1"/>
  <c r="N30" i="1"/>
  <c r="G26" i="1"/>
  <c r="G25" i="1"/>
  <c r="N29" i="1"/>
  <c r="G23" i="1"/>
  <c r="G53" i="1" l="1"/>
  <c r="D57" i="1" l="1"/>
  <c r="F34" i="1"/>
  <c r="G48" i="1"/>
  <c r="I48" i="1" s="1"/>
  <c r="G49" i="1"/>
  <c r="I49" i="1" s="1"/>
  <c r="F27" i="1"/>
  <c r="G38" i="1"/>
  <c r="G43" i="1"/>
  <c r="G44" i="1"/>
  <c r="I44" i="1" s="1"/>
  <c r="G45" i="1"/>
  <c r="I45" i="1" s="1"/>
  <c r="G61" i="1" l="1"/>
  <c r="G41" i="1"/>
  <c r="I38" i="1"/>
  <c r="G27" i="1"/>
  <c r="G34" i="1"/>
  <c r="G50" i="1"/>
  <c r="I43" i="1" s="1"/>
  <c r="D59" i="1" l="1"/>
  <c r="B60" i="1" s="1"/>
  <c r="I41" i="1"/>
  <c r="I36" i="1"/>
  <c r="D13" i="1"/>
  <c r="D14" i="1"/>
  <c r="D15" i="1"/>
</calcChain>
</file>

<file path=xl/sharedStrings.xml><?xml version="1.0" encoding="utf-8"?>
<sst xmlns="http://schemas.openxmlformats.org/spreadsheetml/2006/main" count="602" uniqueCount="389">
  <si>
    <t>Nom</t>
  </si>
  <si>
    <t>Prénom</t>
  </si>
  <si>
    <t>Heure de départ</t>
  </si>
  <si>
    <t xml:space="preserve">Heure de retour </t>
  </si>
  <si>
    <t>Descriptif des frais engagés</t>
  </si>
  <si>
    <t>Nombre</t>
  </si>
  <si>
    <t xml:space="preserve">                </t>
  </si>
  <si>
    <t xml:space="preserve">  </t>
  </si>
  <si>
    <t xml:space="preserve"> Montant Total</t>
  </si>
  <si>
    <t>Montant unitaire</t>
  </si>
  <si>
    <t>VP</t>
  </si>
  <si>
    <t>Nombre de Km (trajet le plus court)</t>
  </si>
  <si>
    <t>Immatriculation :</t>
  </si>
  <si>
    <t>Date de début de mission</t>
  </si>
  <si>
    <t>Date de fin de mission</t>
  </si>
  <si>
    <t>Motif de la mission</t>
  </si>
  <si>
    <t>Ordre de mission n°</t>
  </si>
  <si>
    <t>Nombre de Justificatif</t>
  </si>
  <si>
    <t>Total Repas</t>
  </si>
  <si>
    <t>Total Nuitée</t>
  </si>
  <si>
    <t>Total Tickets</t>
  </si>
  <si>
    <t>Total Autre</t>
  </si>
  <si>
    <t>REPAS</t>
  </si>
  <si>
    <t>Repas gratuit(s)</t>
  </si>
  <si>
    <t>Signature de l'Agent</t>
  </si>
  <si>
    <t>Nombre de Pièces Jointes :</t>
  </si>
  <si>
    <t>NUITÉES *</t>
  </si>
  <si>
    <t>TC *</t>
  </si>
  <si>
    <t>AUTRES FRAIS *</t>
  </si>
  <si>
    <t>Tickets autre  :</t>
  </si>
  <si>
    <t xml:space="preserve">Taxi </t>
  </si>
  <si>
    <t xml:space="preserve">Parking </t>
  </si>
  <si>
    <t xml:space="preserve">Péages </t>
  </si>
  <si>
    <t>Autre  :</t>
  </si>
  <si>
    <t>MISSION FRANCE</t>
  </si>
  <si>
    <t>MISSION ETRANGER</t>
  </si>
  <si>
    <t>Date</t>
  </si>
  <si>
    <t>Commentaire</t>
  </si>
  <si>
    <t>Estimation Frais de la mission** :</t>
  </si>
  <si>
    <t>Nombre de Chevaux :</t>
  </si>
  <si>
    <t>………………….</t>
  </si>
  <si>
    <t>Date de réception du dossier</t>
  </si>
  <si>
    <t>Signature</t>
  </si>
  <si>
    <t>CONTRÔLE PÔLE DE GESTION</t>
  </si>
  <si>
    <t>………………………..</t>
  </si>
  <si>
    <t>Forfait demi-pension</t>
  </si>
  <si>
    <t>Cadre réservé au Pôle de Gestion pour contrôle de l'Etat de Frais Définitif avant la validation ordonnateur</t>
  </si>
  <si>
    <t>CHOIX DU TYPE DE MISSION (CHOIX A FAIRE EN CLIQUANT ICI)</t>
  </si>
  <si>
    <t>Pôle de Gestion Lyon
DFM/OM-2020-V1</t>
  </si>
  <si>
    <t>** Estimation avant controle des gestionnaires financiers</t>
  </si>
  <si>
    <t>Navette</t>
  </si>
  <si>
    <t>5cv et -</t>
  </si>
  <si>
    <t>6cv</t>
  </si>
  <si>
    <t>7cv</t>
  </si>
  <si>
    <t>8cv et +</t>
  </si>
  <si>
    <t>PAYS</t>
  </si>
  <si>
    <t>MONNAIE</t>
  </si>
  <si>
    <t>AFGHANISTAN</t>
  </si>
  <si>
    <t>DOLLAR US</t>
  </si>
  <si>
    <t>EURO</t>
  </si>
  <si>
    <t>ALBANIE</t>
  </si>
  <si>
    <t>ALGERIE</t>
  </si>
  <si>
    <t>DINAR ALGERIEN</t>
  </si>
  <si>
    <t>ALLEMAGNE</t>
  </si>
  <si>
    <t>ANDORRE</t>
  </si>
  <si>
    <t>ANGOLA</t>
  </si>
  <si>
    <t>ANGUILLA</t>
  </si>
  <si>
    <t>ANTIGUA ET BARBUDA</t>
  </si>
  <si>
    <t>ARABIE SAOUDITE</t>
  </si>
  <si>
    <t>ARGENTINE</t>
  </si>
  <si>
    <t>ARMENIE</t>
  </si>
  <si>
    <t>ARUBA</t>
  </si>
  <si>
    <t>AUSTRALIE</t>
  </si>
  <si>
    <t>DOLLAR AUSTRALIEN</t>
  </si>
  <si>
    <t>AUTRICHE</t>
  </si>
  <si>
    <t>AZERBAIDJAN</t>
  </si>
  <si>
    <t>BAHAMAS</t>
  </si>
  <si>
    <t>BAHREIN</t>
  </si>
  <si>
    <t>BANGLADESH</t>
  </si>
  <si>
    <t>BELGIQUE</t>
  </si>
  <si>
    <t>BELIZE</t>
  </si>
  <si>
    <t>BENIN</t>
  </si>
  <si>
    <t>BERMUDES</t>
  </si>
  <si>
    <t>DOLLAR DES BERMUDES</t>
  </si>
  <si>
    <t>BIELORUSSIE</t>
  </si>
  <si>
    <t>BIRMANIE</t>
  </si>
  <si>
    <t>BOLIVIE</t>
  </si>
  <si>
    <t>BOSNIE-HERZEGOVINE</t>
  </si>
  <si>
    <t>BOTSWANA</t>
  </si>
  <si>
    <t>BRESIL</t>
  </si>
  <si>
    <t>BRUNEI</t>
  </si>
  <si>
    <t>DOLLAR DE BRUNEI</t>
  </si>
  <si>
    <t>BULGARIE</t>
  </si>
  <si>
    <t>BURKINA FASO</t>
  </si>
  <si>
    <t>BURUNDI</t>
  </si>
  <si>
    <t>CAMBODGE</t>
  </si>
  <si>
    <t>CAMEROUN</t>
  </si>
  <si>
    <t>DOLLAR CANADIEN</t>
  </si>
  <si>
    <t>CAP-VERT</t>
  </si>
  <si>
    <t>ESCUDO</t>
  </si>
  <si>
    <t>FRANC CFA</t>
  </si>
  <si>
    <t>CHILI</t>
  </si>
  <si>
    <t>CHINE</t>
  </si>
  <si>
    <t>YUAN CHINOIS (CNY)</t>
  </si>
  <si>
    <t>CHYPRE</t>
  </si>
  <si>
    <t>COMORES</t>
  </si>
  <si>
    <t>DOLLAR NEO-ZELANDAIS</t>
  </si>
  <si>
    <t>COREE DU NORD</t>
  </si>
  <si>
    <t>COREE DU SUD</t>
  </si>
  <si>
    <t>COSTA RICA</t>
  </si>
  <si>
    <t>CROATIE</t>
  </si>
  <si>
    <t>CUBA</t>
  </si>
  <si>
    <t>CURAÇAO</t>
  </si>
  <si>
    <t>DANEMARK</t>
  </si>
  <si>
    <t>COURONNE DANOISE</t>
  </si>
  <si>
    <t>DJIBOUTI</t>
  </si>
  <si>
    <t>FRANC DJIBOUTI</t>
  </si>
  <si>
    <t>EGYPTE</t>
  </si>
  <si>
    <t>EMIRATS ARABES UNIS</t>
  </si>
  <si>
    <t>EQUATEUR</t>
  </si>
  <si>
    <t>ERYTHREE</t>
  </si>
  <si>
    <t>ESPAGNE</t>
  </si>
  <si>
    <t>ESTONIE</t>
  </si>
  <si>
    <t>ETATS-UNIS (SAUF NEW YORK)</t>
  </si>
  <si>
    <t>ETATS-UNIS - NEW YORK (1ER JANV-31 AOUT)</t>
  </si>
  <si>
    <t>ETATS-UNIS - NEW YORK (1ER SEPT-31 DÉCEMBRE)</t>
  </si>
  <si>
    <t>ETHIOPIE</t>
  </si>
  <si>
    <t>FIDJI</t>
  </si>
  <si>
    <t>DOLLAR DE FIDJI</t>
  </si>
  <si>
    <t>FINLANDE</t>
  </si>
  <si>
    <t>GABON</t>
  </si>
  <si>
    <t>GAMBIE</t>
  </si>
  <si>
    <t>DALASI</t>
  </si>
  <si>
    <t>GEORGIE</t>
  </si>
  <si>
    <t>GHANA</t>
  </si>
  <si>
    <t>GRANDE-BRETAGNE</t>
  </si>
  <si>
    <t>LIVRE STERLING</t>
  </si>
  <si>
    <t>GRECE</t>
  </si>
  <si>
    <t>GRENADE</t>
  </si>
  <si>
    <t>GUATEMALA</t>
  </si>
  <si>
    <t>GUINEE</t>
  </si>
  <si>
    <t>GUINEE-BISSAU</t>
  </si>
  <si>
    <t>GUINEE EQUATORIALE</t>
  </si>
  <si>
    <t>GUYANA</t>
  </si>
  <si>
    <t>HAITI</t>
  </si>
  <si>
    <t>HONDURAS</t>
  </si>
  <si>
    <t>HONG KONG</t>
  </si>
  <si>
    <t>DOLLAR DE HONG KONG</t>
  </si>
  <si>
    <t>HONGRIE</t>
  </si>
  <si>
    <t>INDE</t>
  </si>
  <si>
    <t>INDONESIE</t>
  </si>
  <si>
    <t>IRAN</t>
  </si>
  <si>
    <t>IRAK</t>
  </si>
  <si>
    <t>IRLANDE</t>
  </si>
  <si>
    <t>ISLANDE</t>
  </si>
  <si>
    <t>COURONNE ISLANDAISE</t>
  </si>
  <si>
    <t>ISRAEL</t>
  </si>
  <si>
    <t>ITALIE</t>
  </si>
  <si>
    <t>JAMAIQUE</t>
  </si>
  <si>
    <t>YEN</t>
  </si>
  <si>
    <t>JORDANIE</t>
  </si>
  <si>
    <t>DINAR JORDANIEN</t>
  </si>
  <si>
    <t>KAZAKHSTAN</t>
  </si>
  <si>
    <t>KENYA</t>
  </si>
  <si>
    <t>KIRGHIZISTAN</t>
  </si>
  <si>
    <t>KIRIBATI</t>
  </si>
  <si>
    <t>KOSOVO</t>
  </si>
  <si>
    <t>KOWEIT</t>
  </si>
  <si>
    <t>LAOS</t>
  </si>
  <si>
    <t>LESOTHO</t>
  </si>
  <si>
    <t>LETTONIE</t>
  </si>
  <si>
    <t>LIBAN</t>
  </si>
  <si>
    <t>LIBERIA</t>
  </si>
  <si>
    <t>LIBYE</t>
  </si>
  <si>
    <t>LIECHTENSTEIN</t>
  </si>
  <si>
    <t>FRANC SUISSE</t>
  </si>
  <si>
    <t>LITUANIE</t>
  </si>
  <si>
    <t>LUXEMBOURG</t>
  </si>
  <si>
    <t>MACAO</t>
  </si>
  <si>
    <t>MACEDOINE</t>
  </si>
  <si>
    <t>MADAGASCAR</t>
  </si>
  <si>
    <t>MALAISIE</t>
  </si>
  <si>
    <t>RINGGIT</t>
  </si>
  <si>
    <t>MALAWI</t>
  </si>
  <si>
    <t>MALI</t>
  </si>
  <si>
    <t>MALTE</t>
  </si>
  <si>
    <t>MAROC</t>
  </si>
  <si>
    <t>MAURICE</t>
  </si>
  <si>
    <t>ROUPIE ILE MAURICE</t>
  </si>
  <si>
    <t>MAURITANIE</t>
  </si>
  <si>
    <t>MEXIQUE</t>
  </si>
  <si>
    <t>MICRONESIE</t>
  </si>
  <si>
    <t>MOLDAVIE</t>
  </si>
  <si>
    <t>MONGOLIE EXTERIEURE</t>
  </si>
  <si>
    <t>MONTENEGRO</t>
  </si>
  <si>
    <t>MOZAMBIQUE</t>
  </si>
  <si>
    <t>NAMIBIE</t>
  </si>
  <si>
    <t>NAURU</t>
  </si>
  <si>
    <t>NEPAL</t>
  </si>
  <si>
    <t>NICARAGUA</t>
  </si>
  <si>
    <t>NIGER</t>
  </si>
  <si>
    <t>NIUE</t>
  </si>
  <si>
    <t>NORVEGE</t>
  </si>
  <si>
    <t>COURONNE NORVEGIENNE</t>
  </si>
  <si>
    <t>NOUVELLE-ZELANDE</t>
  </si>
  <si>
    <t>OMAN</t>
  </si>
  <si>
    <t>OUGANDA</t>
  </si>
  <si>
    <t>OUZBEKISTAN</t>
  </si>
  <si>
    <t>PAKISTAN</t>
  </si>
  <si>
    <t>PANAMA</t>
  </si>
  <si>
    <t>PAPOUASIE-NOUVELLE-GUINEE</t>
  </si>
  <si>
    <t>PARAGUAY</t>
  </si>
  <si>
    <t>PAYS-BAS</t>
  </si>
  <si>
    <t>PEROU</t>
  </si>
  <si>
    <t>PHILIPPINES</t>
  </si>
  <si>
    <t>PESO PHILIPPIN</t>
  </si>
  <si>
    <t>POLOGNE</t>
  </si>
  <si>
    <t>PORTUGAL</t>
  </si>
  <si>
    <t>QATAR</t>
  </si>
  <si>
    <t>ROUMANIE</t>
  </si>
  <si>
    <t>RUSSIE</t>
  </si>
  <si>
    <t>RWANDA</t>
  </si>
  <si>
    <t>DOLLAR AMERICAIN</t>
  </si>
  <si>
    <t>SAINT-VINCENT ET LES GRENADINES</t>
  </si>
  <si>
    <t>SALOMON</t>
  </si>
  <si>
    <t>VATU</t>
  </si>
  <si>
    <t>SALVADOR</t>
  </si>
  <si>
    <t>SAMOA</t>
  </si>
  <si>
    <t>SAO TOME ET PRINCIPE</t>
  </si>
  <si>
    <t>SENEGAL</t>
  </si>
  <si>
    <t>SERBIE</t>
  </si>
  <si>
    <t>SEYCHELLES</t>
  </si>
  <si>
    <t>SIERRA LEONE</t>
  </si>
  <si>
    <t>SINGAPOUR</t>
  </si>
  <si>
    <t>SLOVAQUIE</t>
  </si>
  <si>
    <t>SLOVENIE</t>
  </si>
  <si>
    <t>SOMALIE</t>
  </si>
  <si>
    <t>SOUDAN</t>
  </si>
  <si>
    <t>SRI LANKA</t>
  </si>
  <si>
    <t>SUEDE</t>
  </si>
  <si>
    <t>COURONNE SUEDOISE</t>
  </si>
  <si>
    <t>SUISSE</t>
  </si>
  <si>
    <t>SURINAME</t>
  </si>
  <si>
    <t>SWAZILAND</t>
  </si>
  <si>
    <t>SYRIE</t>
  </si>
  <si>
    <t>TADJIKISTAN</t>
  </si>
  <si>
    <t>TAIWAN</t>
  </si>
  <si>
    <t>DOLLAR DE TAIWAN</t>
  </si>
  <si>
    <t>TANZANIE</t>
  </si>
  <si>
    <t>TCHAD</t>
  </si>
  <si>
    <t>THAILANDE</t>
  </si>
  <si>
    <t>BAHT</t>
  </si>
  <si>
    <t>TONGA</t>
  </si>
  <si>
    <t>TRINITE ET TOBAGO</t>
  </si>
  <si>
    <t>TUNISIE</t>
  </si>
  <si>
    <t>TURKMENISTAN</t>
  </si>
  <si>
    <t>TURQUIE</t>
  </si>
  <si>
    <t>TUVALU</t>
  </si>
  <si>
    <t>UKRAINE</t>
  </si>
  <si>
    <t>URUGUAY</t>
  </si>
  <si>
    <t>VANUATU</t>
  </si>
  <si>
    <t>VENEZUELA</t>
  </si>
  <si>
    <t>VIETNAM</t>
  </si>
  <si>
    <t>YEMEN</t>
  </si>
  <si>
    <t>ZAMBIE</t>
  </si>
  <si>
    <t>ZIMBABWE</t>
  </si>
  <si>
    <t>Montant de l'IJ en €</t>
  </si>
  <si>
    <t>Avion / Train</t>
  </si>
  <si>
    <t>Visa / Vaccin</t>
  </si>
  <si>
    <t>Déclaration faite le</t>
  </si>
  <si>
    <t>Déclaration faite à</t>
  </si>
  <si>
    <t>PM PANIGONI - 2023</t>
  </si>
  <si>
    <t>Date de la demande</t>
  </si>
  <si>
    <t>Signature de l'autorité administrative / ordonnateur</t>
  </si>
  <si>
    <t>Nom du demandeur</t>
  </si>
  <si>
    <t>eOTP</t>
  </si>
  <si>
    <t>Centre de Coûts</t>
  </si>
  <si>
    <t>Domaine Fonctionnel</t>
  </si>
  <si>
    <t>Quotité</t>
  </si>
  <si>
    <t>Billets d’avion en classe supérieure à la classe économique</t>
  </si>
  <si>
    <t>Présentation à une épreuve du concours</t>
  </si>
  <si>
    <t>Dérogation</t>
  </si>
  <si>
    <t>Demande</t>
  </si>
  <si>
    <t>Autre</t>
  </si>
  <si>
    <t>Transport en commun</t>
  </si>
  <si>
    <t>Taxi</t>
  </si>
  <si>
    <t>Véhicule de service</t>
  </si>
  <si>
    <t>RESIDENCE</t>
  </si>
  <si>
    <t>Train</t>
  </si>
  <si>
    <t>Avion</t>
  </si>
  <si>
    <t>Classe</t>
  </si>
  <si>
    <t>Abonnement</t>
  </si>
  <si>
    <t>Type Abonnement</t>
  </si>
  <si>
    <t>Numero de carte Fidelité</t>
  </si>
  <si>
    <t>TRANSPORT PRINCIPAL</t>
  </si>
  <si>
    <t>Véhicule de Location</t>
  </si>
  <si>
    <t>Si taxi, Motif :</t>
  </si>
  <si>
    <r>
      <t xml:space="preserve">Véhicule Personnel
</t>
    </r>
    <r>
      <rPr>
        <i/>
        <sz val="8"/>
        <color theme="1"/>
        <rFont val="Arial"/>
        <family val="2"/>
      </rPr>
      <t>(Si vous utilisez votre VP, avez-vous fait établir une autorisation ?)</t>
    </r>
  </si>
  <si>
    <t>Si Autre, préciser :</t>
  </si>
  <si>
    <t>AUTRE TRANSPORT</t>
  </si>
  <si>
    <t>Trajet</t>
  </si>
  <si>
    <t>Heure Départ</t>
  </si>
  <si>
    <t>Heure Arrivée</t>
  </si>
  <si>
    <t>Nom du Signataire</t>
  </si>
  <si>
    <t>NUITÉES</t>
  </si>
  <si>
    <t>Destination de la mission</t>
  </si>
  <si>
    <t>Demande de Dérogations</t>
  </si>
  <si>
    <t>* l'original des justificatifs est à conserver obligatoirement pendant 1 an</t>
  </si>
  <si>
    <t>ETAT DE FRAIS DE MISSION</t>
  </si>
  <si>
    <t>DEMANDE DE MISSION</t>
  </si>
  <si>
    <t>FRAIS DIVERS</t>
  </si>
  <si>
    <t>Parking</t>
  </si>
  <si>
    <t>Péage</t>
  </si>
  <si>
    <t>Visa</t>
  </si>
  <si>
    <t>Vaccin</t>
  </si>
  <si>
    <t>Repas dans une commune limitrophe à la résidence administrative / familliale</t>
  </si>
  <si>
    <t>Repas (Hors Forfait)</t>
  </si>
  <si>
    <t>Nuit gratuite(s)</t>
  </si>
  <si>
    <t>Nuit sur marché / sur bon de commande</t>
  </si>
  <si>
    <t>Repas supérieur à 20€ pour une mission en France</t>
  </si>
  <si>
    <t>Hébergement supérieur à 150€ pour une mission en France</t>
  </si>
  <si>
    <t>Hébergement supérieur au forfait pour une mission à l’étranger</t>
  </si>
  <si>
    <t>………………………………..</t>
  </si>
  <si>
    <r>
      <t xml:space="preserve">Nuits payées par l'agent </t>
    </r>
    <r>
      <rPr>
        <sz val="7"/>
        <color theme="1"/>
        <rFont val="Arial"/>
        <family val="2"/>
      </rPr>
      <t>(inférieur au forfait)</t>
    </r>
  </si>
  <si>
    <r>
      <t xml:space="preserve">Nuit payées par l'agent </t>
    </r>
    <r>
      <rPr>
        <sz val="7"/>
        <color theme="1"/>
        <rFont val="Arial"/>
        <family val="2"/>
      </rPr>
      <t>(hors forfait)</t>
    </r>
  </si>
  <si>
    <t>Billets de train 1ere classe pour questions de santé ou de situation de handicap</t>
  </si>
  <si>
    <t xml:space="preserve">Billets de train 1ere classe pour accompagner une personnalité de haut niveau. </t>
  </si>
  <si>
    <t>Montant en devise de la nuit</t>
  </si>
  <si>
    <t>Montant en devise du déjeuner</t>
  </si>
  <si>
    <t>Montant en devise du diner</t>
  </si>
  <si>
    <t xml:space="preserve">Type de mission </t>
  </si>
  <si>
    <t>(Formulaire à saisir informatiquement sur 2 onglets)</t>
  </si>
  <si>
    <t>Tickets de transports en commun</t>
  </si>
  <si>
    <t>Nom du Centre Financier</t>
  </si>
  <si>
    <t>Code Centre Financier</t>
  </si>
  <si>
    <t>CENTRAFRICAINE (République)</t>
  </si>
  <si>
    <t>COLOMBIE</t>
  </si>
  <si>
    <t>COTE D'IVOIRE</t>
  </si>
  <si>
    <t>PESO MEXICAIN</t>
  </si>
  <si>
    <t>NIGERIA villes de ABUJA, LAGOS ET PORT-HARCOURT</t>
  </si>
  <si>
    <t>NIGERIA AUTRES VILLES</t>
  </si>
  <si>
    <t>SAINT-CHRISTOPHE-ET-NIEVES</t>
  </si>
  <si>
    <t>SAINTE-LUCIE</t>
  </si>
  <si>
    <t>DOLLAR SINGAPOURIEN</t>
  </si>
  <si>
    <t>Heure départ</t>
  </si>
  <si>
    <t xml:space="preserve">Heure retour </t>
  </si>
  <si>
    <t>Type</t>
  </si>
  <si>
    <t>Nom Résidence</t>
  </si>
  <si>
    <r>
      <t xml:space="preserve">Horaires de Transports souhaités ou Etapes </t>
    </r>
    <r>
      <rPr>
        <b/>
        <sz val="8"/>
        <color theme="1"/>
        <rFont val="Arial"/>
        <family val="2"/>
      </rPr>
      <t>(si utilisation de Véhicules (Privé, de Service ou de Location))</t>
    </r>
  </si>
  <si>
    <r>
      <rPr>
        <b/>
        <u/>
        <sz val="7"/>
        <color theme="1"/>
        <rFont val="Arial"/>
        <family val="2"/>
      </rPr>
      <t>Point d'attention :</t>
    </r>
    <r>
      <rPr>
        <b/>
        <sz val="7"/>
        <color theme="1"/>
        <rFont val="Arial"/>
        <family val="2"/>
      </rPr>
      <t xml:space="preserve">
</t>
    </r>
    <r>
      <rPr>
        <sz val="7"/>
        <color theme="1"/>
        <rFont val="Arial"/>
        <family val="2"/>
      </rPr>
      <t>Si les horaires de missions ont changés, merci de modifier ces derniers ci contre</t>
    </r>
  </si>
  <si>
    <t>Numero OMP</t>
  </si>
  <si>
    <t>Schéma de Déplacement (à choisir ici -&gt; )</t>
  </si>
  <si>
    <t>Type de mission (à choisir ici -&gt; )</t>
  </si>
  <si>
    <t>Montant de l'avance versée :</t>
  </si>
  <si>
    <t>Schema Initial de Déplacement</t>
  </si>
  <si>
    <t>NON</t>
  </si>
  <si>
    <t>Estimation Indemnités Journalières</t>
  </si>
  <si>
    <r>
      <t>Nuits payées par l'agent</t>
    </r>
    <r>
      <rPr>
        <sz val="8"/>
        <color theme="1"/>
        <rFont val="Arial"/>
        <family val="2"/>
      </rPr>
      <t xml:space="preserve"> 
(inférieur au forfait)</t>
    </r>
  </si>
  <si>
    <t>CHOIX A FAIRE EN CLIQUANT ICI</t>
  </si>
  <si>
    <t>Adresse Budgétaire</t>
  </si>
  <si>
    <t>Commentaires / Remarques</t>
  </si>
  <si>
    <r>
      <t xml:space="preserve">Nuits payées par l'agent
</t>
    </r>
    <r>
      <rPr>
        <sz val="8"/>
        <color theme="1"/>
        <rFont val="Arial"/>
        <family val="2"/>
      </rPr>
      <t>(hors forfait)</t>
    </r>
  </si>
  <si>
    <t>AFRIQUE DU SUD</t>
  </si>
  <si>
    <t>AFRIQUE DU SUD (DU 15 MAI AU 31 JUILLET)</t>
  </si>
  <si>
    <t>BARBADE</t>
  </si>
  <si>
    <t>CAIMANS (ÎLES)</t>
  </si>
  <si>
    <t>CANADA (TORONTO)</t>
  </si>
  <si>
    <t>CANADA (VANCOUVER)</t>
  </si>
  <si>
    <t>CANADA</t>
  </si>
  <si>
    <t>CONGO (BRAZAVILLE)</t>
  </si>
  <si>
    <t xml:space="preserve">CONGO (RÉP DEM DU) </t>
  </si>
  <si>
    <t>COOK (ÎLES)</t>
  </si>
  <si>
    <t>DOMINICAINE (RÉPUBLIQUE)</t>
  </si>
  <si>
    <t>DOMINIQUE</t>
  </si>
  <si>
    <t>JAPON - SAUF TOKYO</t>
  </si>
  <si>
    <t>JAPON (TOKYO)</t>
  </si>
  <si>
    <t>MALDIVES (ÎLES)</t>
  </si>
  <si>
    <t>MARSHALL (ÎLES)</t>
  </si>
  <si>
    <t>PALAOS (ÎLES)</t>
  </si>
  <si>
    <t>SUD SOUDAN</t>
  </si>
  <si>
    <t>TCHEQUE (RÉPUBLIQUE)</t>
  </si>
  <si>
    <t>TIMOR ORIENTAL</t>
  </si>
  <si>
    <t>TOGO (LOMÉ)</t>
  </si>
  <si>
    <t>TOGO (AUTRES VILLES)</t>
  </si>
  <si>
    <t>IJ
Montant mis à jour au 07/03/2025</t>
  </si>
  <si>
    <t>Gestion des Missions - 2025 - V3.8</t>
  </si>
  <si>
    <t>990RE661</t>
  </si>
  <si>
    <t>D11HT</t>
  </si>
  <si>
    <t>990RE661CR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</si>
</sst>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0\ _€"/>
    <numFmt numFmtId="167" formatCode="h:mm;@"/>
    <numFmt numFmtId="168" formatCode="dd/mm/yy;@"/>
    <numFmt numFmtId="169" formatCode="_-* #,##0\ _€_-;\-* #,##0\ _€_-;_-* &quot;-&quot;??\ _€_-;_-@_-"/>
    <numFmt numFmtId="170" formatCode="_-* #,##0.00\ [$€-40C]_-;\-* #,##0.00\ [$€-40C]_-;_-* &quot;-&quot;??\ [$€-40C]_-;_-@_-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Arial"/>
      <family val="2"/>
    </font>
    <font>
      <b/>
      <i/>
      <u/>
      <sz val="16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sz val="1"/>
      <color theme="1"/>
      <name val="Times New Roman"/>
      <family val="1"/>
    </font>
    <font>
      <b/>
      <sz val="9"/>
      <color theme="1"/>
      <name val="Arial"/>
      <family val="2"/>
    </font>
    <font>
      <i/>
      <sz val="8"/>
      <color theme="1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theme="0" tint="-0.34998626667073579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u/>
      <sz val="9"/>
      <color rgb="FFFF00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9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u/>
      <sz val="7"/>
      <color theme="1"/>
      <name val="Arial"/>
      <family val="2"/>
    </font>
    <font>
      <i/>
      <sz val="10"/>
      <color rgb="FFC00000"/>
      <name val="Calibri"/>
      <family val="2"/>
      <scheme val="minor"/>
    </font>
    <font>
      <b/>
      <sz val="10"/>
      <color theme="7" tint="-0.249977111117893"/>
      <name val="Arial"/>
      <family val="2"/>
    </font>
    <font>
      <sz val="9"/>
      <color theme="1"/>
      <name val="Arial"/>
      <family val="2"/>
    </font>
    <font>
      <b/>
      <sz val="10"/>
      <color theme="7" tint="0.3999755851924192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1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461">
    <xf numFmtId="0" fontId="0" fillId="0" borderId="0" xfId="0"/>
    <xf numFmtId="0" fontId="1" fillId="0" borderId="21" xfId="0" applyNumberFormat="1" applyFont="1" applyBorder="1" applyAlignment="1" applyProtection="1">
      <alignment horizontal="center" vertical="center" wrapText="1"/>
      <protection locked="0"/>
    </xf>
    <xf numFmtId="0" fontId="1" fillId="0" borderId="12" xfId="0" applyNumberFormat="1" applyFont="1" applyBorder="1" applyAlignment="1" applyProtection="1">
      <alignment horizontal="center" vertical="center" wrapText="1"/>
      <protection locked="0"/>
    </xf>
    <xf numFmtId="0" fontId="1" fillId="0" borderId="26" xfId="0" applyNumberFormat="1" applyFont="1" applyBorder="1" applyAlignment="1" applyProtection="1">
      <alignment horizontal="center" vertical="center" wrapText="1"/>
      <protection locked="0"/>
    </xf>
    <xf numFmtId="165" fontId="1" fillId="0" borderId="21" xfId="0" applyNumberFormat="1" applyFont="1" applyBorder="1" applyAlignment="1" applyProtection="1">
      <alignment horizontal="center" vertical="center" wrapText="1"/>
      <protection locked="0"/>
    </xf>
    <xf numFmtId="165" fontId="1" fillId="0" borderId="26" xfId="0" applyNumberFormat="1" applyFont="1" applyBorder="1" applyAlignment="1" applyProtection="1">
      <alignment horizontal="center" vertical="center" wrapText="1"/>
      <protection locked="0"/>
    </xf>
    <xf numFmtId="165" fontId="1" fillId="0" borderId="1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27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/>
    <xf numFmtId="0" fontId="2" fillId="0" borderId="0" xfId="0" applyFont="1" applyBorder="1" applyAlignment="1" applyProtection="1">
      <alignment horizontal="left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0" xfId="0" applyNumberFormat="1" applyFont="1" applyBorder="1" applyAlignment="1" applyProtection="1">
      <alignment horizontal="right" vertical="center" wrapText="1"/>
    </xf>
    <xf numFmtId="0" fontId="1" fillId="0" borderId="0" xfId="0" applyNumberFormat="1" applyFont="1" applyBorder="1" applyAlignment="1" applyProtection="1">
      <alignment horizontal="center" vertical="center" wrapText="1"/>
    </xf>
    <xf numFmtId="0" fontId="7" fillId="0" borderId="29" xfId="0" applyFont="1" applyBorder="1" applyProtection="1"/>
    <xf numFmtId="0" fontId="7" fillId="0" borderId="40" xfId="0" applyFont="1" applyBorder="1" applyProtection="1"/>
    <xf numFmtId="0" fontId="7" fillId="0" borderId="31" xfId="0" applyFont="1" applyBorder="1" applyProtection="1"/>
    <xf numFmtId="0" fontId="5" fillId="0" borderId="0" xfId="0" applyFont="1" applyAlignment="1" applyProtection="1">
      <alignment vertical="center"/>
    </xf>
    <xf numFmtId="0" fontId="7" fillId="2" borderId="29" xfId="0" applyFont="1" applyFill="1" applyBorder="1" applyProtection="1"/>
    <xf numFmtId="0" fontId="7" fillId="2" borderId="40" xfId="0" applyFont="1" applyFill="1" applyBorder="1" applyProtection="1"/>
    <xf numFmtId="0" fontId="1" fillId="2" borderId="27" xfId="0" applyFont="1" applyFill="1" applyBorder="1" applyAlignment="1" applyProtection="1">
      <alignment horizontal="center" vertical="center" wrapText="1"/>
    </xf>
    <xf numFmtId="0" fontId="7" fillId="2" borderId="31" xfId="0" applyFont="1" applyFill="1" applyBorder="1" applyProtection="1"/>
    <xf numFmtId="0" fontId="1" fillId="0" borderId="12" xfId="0" applyFont="1" applyBorder="1" applyAlignment="1" applyProtection="1">
      <alignment wrapText="1"/>
      <protection locked="0"/>
    </xf>
    <xf numFmtId="0" fontId="1" fillId="0" borderId="35" xfId="0" applyFont="1" applyBorder="1" applyAlignment="1" applyProtection="1">
      <alignment wrapText="1"/>
      <protection locked="0"/>
    </xf>
    <xf numFmtId="165" fontId="11" fillId="0" borderId="21" xfId="0" applyNumberFormat="1" applyFont="1" applyBorder="1" applyAlignment="1" applyProtection="1">
      <alignment horizontal="center" vertical="center" wrapText="1"/>
      <protection locked="0"/>
    </xf>
    <xf numFmtId="14" fontId="2" fillId="0" borderId="41" xfId="0" applyNumberFormat="1" applyFont="1" applyBorder="1" applyAlignment="1" applyProtection="1">
      <alignment vertical="center" wrapText="1"/>
      <protection locked="0"/>
    </xf>
    <xf numFmtId="14" fontId="2" fillId="0" borderId="24" xfId="0" applyNumberFormat="1" applyFont="1" applyBorder="1" applyAlignment="1" applyProtection="1">
      <alignment vertical="center" wrapText="1"/>
      <protection locked="0"/>
    </xf>
    <xf numFmtId="14" fontId="2" fillId="0" borderId="25" xfId="0" applyNumberFormat="1" applyFont="1" applyBorder="1" applyAlignment="1" applyProtection="1">
      <alignment vertical="center" wrapText="1"/>
      <protection locked="0"/>
    </xf>
    <xf numFmtId="0" fontId="14" fillId="0" borderId="0" xfId="0" applyFont="1" applyProtection="1"/>
    <xf numFmtId="0" fontId="9" fillId="0" borderId="0" xfId="0" applyFont="1" applyAlignment="1" applyProtection="1">
      <alignment vertical="center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0" fillId="0" borderId="0" xfId="0" applyBorder="1" applyProtection="1"/>
    <xf numFmtId="0" fontId="0" fillId="0" borderId="47" xfId="0" applyBorder="1" applyProtection="1"/>
    <xf numFmtId="0" fontId="0" fillId="0" borderId="48" xfId="0" applyBorder="1" applyProtection="1"/>
    <xf numFmtId="0" fontId="0" fillId="0" borderId="49" xfId="0" applyBorder="1" applyProtection="1"/>
    <xf numFmtId="0" fontId="16" fillId="0" borderId="0" xfId="0" applyFont="1" applyProtection="1"/>
    <xf numFmtId="0" fontId="17" fillId="0" borderId="0" xfId="0" applyFont="1" applyAlignment="1" applyProtection="1">
      <alignment vertical="center"/>
    </xf>
    <xf numFmtId="0" fontId="15" fillId="0" borderId="0" xfId="0" applyFont="1" applyFill="1" applyBorder="1" applyAlignment="1" applyProtection="1">
      <alignment vertical="center" textRotation="90"/>
    </xf>
    <xf numFmtId="0" fontId="0" fillId="0" borderId="50" xfId="0" applyBorder="1" applyProtection="1"/>
    <xf numFmtId="0" fontId="7" fillId="0" borderId="0" xfId="0" applyFont="1" applyBorder="1" applyProtection="1"/>
    <xf numFmtId="0" fontId="3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8" fillId="0" borderId="0" xfId="0" applyFont="1" applyBorder="1" applyAlignment="1" applyProtection="1">
      <alignment vertical="center" wrapText="1"/>
    </xf>
    <xf numFmtId="0" fontId="10" fillId="0" borderId="0" xfId="0" applyFont="1" applyBorder="1" applyAlignment="1" applyProtection="1">
      <alignment vertical="center"/>
    </xf>
    <xf numFmtId="0" fontId="14" fillId="0" borderId="0" xfId="0" applyFont="1" applyBorder="1" applyProtection="1"/>
    <xf numFmtId="0" fontId="16" fillId="0" borderId="0" xfId="0" applyFont="1" applyBorder="1" applyProtection="1"/>
    <xf numFmtId="0" fontId="16" fillId="0" borderId="0" xfId="0" applyFont="1" applyBorder="1" applyAlignment="1" applyProtection="1">
      <alignment vertical="center"/>
    </xf>
    <xf numFmtId="165" fontId="11" fillId="0" borderId="16" xfId="0" applyNumberFormat="1" applyFont="1" applyBorder="1" applyAlignment="1" applyProtection="1">
      <alignment horizontal="center" vertical="center" wrapText="1"/>
      <protection locked="0"/>
    </xf>
    <xf numFmtId="0" fontId="13" fillId="2" borderId="14" xfId="0" applyFont="1" applyFill="1" applyBorder="1" applyAlignment="1" applyProtection="1">
      <alignment horizontal="center" vertical="center" wrapText="1"/>
    </xf>
    <xf numFmtId="0" fontId="1" fillId="0" borderId="16" xfId="0" applyNumberFormat="1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Protection="1"/>
    <xf numFmtId="0" fontId="0" fillId="0" borderId="52" xfId="0" applyBorder="1" applyProtection="1"/>
    <xf numFmtId="0" fontId="1" fillId="0" borderId="8" xfId="0" applyFont="1" applyBorder="1" applyAlignment="1" applyProtection="1">
      <alignment horizontal="center" vertical="center" wrapText="1"/>
    </xf>
    <xf numFmtId="165" fontId="11" fillId="0" borderId="35" xfId="0" applyNumberFormat="1" applyFont="1" applyBorder="1" applyAlignment="1" applyProtection="1">
      <alignment horizontal="center" vertical="center" wrapText="1"/>
      <protection locked="0"/>
    </xf>
    <xf numFmtId="0" fontId="1" fillId="0" borderId="35" xfId="0" applyNumberFormat="1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Protection="1"/>
    <xf numFmtId="0" fontId="0" fillId="0" borderId="4" xfId="0" applyBorder="1" applyProtection="1"/>
    <xf numFmtId="0" fontId="2" fillId="3" borderId="18" xfId="0" applyNumberFormat="1" applyFont="1" applyFill="1" applyBorder="1" applyAlignment="1" applyProtection="1">
      <alignment horizontal="center" vertical="center" wrapText="1"/>
    </xf>
    <xf numFmtId="44" fontId="2" fillId="3" borderId="19" xfId="0" applyNumberFormat="1" applyFont="1" applyFill="1" applyBorder="1" applyAlignment="1" applyProtection="1">
      <alignment horizontal="center" vertical="center" wrapText="1"/>
    </xf>
    <xf numFmtId="0" fontId="2" fillId="3" borderId="35" xfId="0" applyNumberFormat="1" applyFont="1" applyFill="1" applyBorder="1" applyAlignment="1" applyProtection="1">
      <alignment horizontal="center" vertical="center" wrapText="1"/>
    </xf>
    <xf numFmtId="44" fontId="2" fillId="3" borderId="36" xfId="0" applyNumberFormat="1" applyFont="1" applyFill="1" applyBorder="1" applyAlignment="1" applyProtection="1">
      <alignment horizontal="center" vertical="center" wrapText="1"/>
    </xf>
    <xf numFmtId="0" fontId="2" fillId="4" borderId="30" xfId="0" applyFont="1" applyFill="1" applyBorder="1" applyAlignment="1" applyProtection="1">
      <alignment horizontal="center" vertical="center" wrapText="1"/>
    </xf>
    <xf numFmtId="0" fontId="2" fillId="4" borderId="35" xfId="0" applyFont="1" applyFill="1" applyBorder="1" applyAlignment="1" applyProtection="1">
      <alignment horizontal="center" vertical="center" wrapText="1"/>
    </xf>
    <xf numFmtId="0" fontId="2" fillId="4" borderId="45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vertical="center" wrapText="1"/>
    </xf>
    <xf numFmtId="0" fontId="10" fillId="0" borderId="0" xfId="0" applyFont="1" applyBorder="1" applyAlignment="1" applyProtection="1"/>
    <xf numFmtId="0" fontId="0" fillId="0" borderId="0" xfId="0" applyBorder="1" applyAlignment="1" applyProtection="1"/>
    <xf numFmtId="0" fontId="23" fillId="7" borderId="50" xfId="0" applyFont="1" applyFill="1" applyBorder="1" applyAlignment="1">
      <alignment horizontal="center" vertical="center"/>
    </xf>
    <xf numFmtId="0" fontId="0" fillId="0" borderId="47" xfId="0" applyBorder="1"/>
    <xf numFmtId="0" fontId="0" fillId="0" borderId="55" xfId="0" applyBorder="1" applyAlignment="1">
      <alignment horizontal="center" vertical="center" wrapText="1"/>
    </xf>
    <xf numFmtId="0" fontId="0" fillId="0" borderId="48" xfId="0" applyBorder="1"/>
    <xf numFmtId="3" fontId="0" fillId="0" borderId="55" xfId="0" applyNumberFormat="1" applyBorder="1" applyAlignment="1">
      <alignment horizontal="center" vertical="center" wrapText="1"/>
    </xf>
    <xf numFmtId="0" fontId="0" fillId="0" borderId="56" xfId="0" applyBorder="1" applyAlignment="1">
      <alignment vertical="center" wrapText="1"/>
    </xf>
    <xf numFmtId="0" fontId="0" fillId="0" borderId="56" xfId="0" applyBorder="1" applyAlignment="1">
      <alignment horizontal="left" vertical="center" wrapText="1"/>
    </xf>
    <xf numFmtId="0" fontId="0" fillId="0" borderId="49" xfId="0" applyBorder="1"/>
    <xf numFmtId="0" fontId="0" fillId="0" borderId="57" xfId="0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/>
    </xf>
    <xf numFmtId="166" fontId="23" fillId="7" borderId="50" xfId="0" applyNumberFormat="1" applyFont="1" applyFill="1" applyBorder="1" applyAlignment="1">
      <alignment horizontal="center" vertical="center" wrapText="1"/>
    </xf>
    <xf numFmtId="0" fontId="2" fillId="0" borderId="53" xfId="0" applyFont="1" applyFill="1" applyBorder="1" applyAlignment="1" applyProtection="1">
      <alignment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8" borderId="2" xfId="0" applyFont="1" applyFill="1" applyBorder="1" applyAlignment="1" applyProtection="1">
      <alignment horizontal="center" vertical="center" wrapText="1"/>
    </xf>
    <xf numFmtId="0" fontId="1" fillId="8" borderId="26" xfId="0" applyFont="1" applyFill="1" applyBorder="1" applyAlignment="1" applyProtection="1">
      <alignment horizontal="center" vertical="center" wrapText="1"/>
    </xf>
    <xf numFmtId="44" fontId="1" fillId="8" borderId="26" xfId="0" applyNumberFormat="1" applyFont="1" applyFill="1" applyBorder="1" applyAlignment="1" applyProtection="1">
      <alignment horizontal="center" vertical="center" wrapText="1"/>
    </xf>
    <xf numFmtId="44" fontId="1" fillId="8" borderId="21" xfId="0" applyNumberFormat="1" applyFont="1" applyFill="1" applyBorder="1" applyAlignment="1" applyProtection="1">
      <alignment horizontal="center" vertical="center" wrapText="1"/>
    </xf>
    <xf numFmtId="44" fontId="1" fillId="8" borderId="12" xfId="0" applyNumberFormat="1" applyFont="1" applyFill="1" applyBorder="1" applyAlignment="1" applyProtection="1">
      <alignment horizontal="center" vertical="center" wrapText="1"/>
    </xf>
    <xf numFmtId="44" fontId="1" fillId="8" borderId="16" xfId="0" applyNumberFormat="1" applyFont="1" applyFill="1" applyBorder="1" applyAlignment="1" applyProtection="1">
      <alignment horizontal="center" vertical="center" wrapText="1"/>
    </xf>
    <xf numFmtId="4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44" fontId="1" fillId="8" borderId="35" xfId="1" applyNumberFormat="1" applyFont="1" applyFill="1" applyBorder="1" applyAlignment="1" applyProtection="1">
      <alignment horizontal="center" vertical="center" wrapText="1"/>
    </xf>
    <xf numFmtId="0" fontId="2" fillId="8" borderId="3" xfId="0" applyFont="1" applyFill="1" applyBorder="1" applyAlignment="1" applyProtection="1">
      <alignment horizontal="center" vertical="center" wrapText="1"/>
    </xf>
    <xf numFmtId="0" fontId="17" fillId="3" borderId="14" xfId="0" applyFont="1" applyFill="1" applyBorder="1" applyAlignment="1" applyProtection="1">
      <alignment horizontal="center" vertical="center" wrapText="1"/>
    </xf>
    <xf numFmtId="14" fontId="17" fillId="0" borderId="1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</xf>
    <xf numFmtId="0" fontId="1" fillId="0" borderId="23" xfId="0" applyFont="1" applyBorder="1" applyAlignment="1" applyProtection="1">
      <alignment horizontal="center" wrapText="1"/>
      <protection locked="0"/>
    </xf>
    <xf numFmtId="0" fontId="25" fillId="0" borderId="0" xfId="0" applyFont="1" applyBorder="1" applyProtection="1"/>
    <xf numFmtId="14" fontId="11" fillId="0" borderId="25" xfId="0" applyNumberFormat="1" applyFont="1" applyBorder="1" applyAlignment="1" applyProtection="1">
      <alignment horizontal="center" vertical="center"/>
      <protection locked="0"/>
    </xf>
    <xf numFmtId="14" fontId="11" fillId="0" borderId="24" xfId="0" applyNumberFormat="1" applyFont="1" applyBorder="1" applyAlignment="1" applyProtection="1">
      <alignment horizontal="center" vertical="center"/>
      <protection locked="0"/>
    </xf>
    <xf numFmtId="0" fontId="27" fillId="4" borderId="2" xfId="0" applyFont="1" applyFill="1" applyBorder="1" applyAlignment="1" applyProtection="1"/>
    <xf numFmtId="0" fontId="27" fillId="4" borderId="3" xfId="0" applyFont="1" applyFill="1" applyBorder="1" applyAlignment="1" applyProtection="1"/>
    <xf numFmtId="0" fontId="27" fillId="4" borderId="37" xfId="0" applyFont="1" applyFill="1" applyBorder="1" applyAlignment="1" applyProtection="1">
      <alignment horizontal="center"/>
    </xf>
    <xf numFmtId="0" fontId="1" fillId="0" borderId="64" xfId="0" applyFont="1" applyBorder="1" applyAlignment="1" applyProtection="1">
      <alignment vertical="center" wrapText="1"/>
    </xf>
    <xf numFmtId="0" fontId="1" fillId="0" borderId="67" xfId="0" applyFont="1" applyBorder="1" applyAlignment="1" applyProtection="1">
      <alignment vertical="center" wrapText="1"/>
    </xf>
    <xf numFmtId="0" fontId="1" fillId="0" borderId="22" xfId="0" applyFont="1" applyBorder="1" applyAlignment="1" applyProtection="1">
      <alignment vertical="center" wrapText="1"/>
    </xf>
    <xf numFmtId="0" fontId="27" fillId="4" borderId="39" xfId="0" applyFont="1" applyFill="1" applyBorder="1" applyAlignment="1" applyProtection="1"/>
    <xf numFmtId="9" fontId="11" fillId="0" borderId="12" xfId="6" applyFont="1" applyBorder="1" applyAlignment="1" applyProtection="1">
      <alignment vertical="center" shrinkToFit="1"/>
      <protection locked="0"/>
    </xf>
    <xf numFmtId="9" fontId="11" fillId="0" borderId="26" xfId="6" applyFont="1" applyBorder="1" applyAlignment="1" applyProtection="1">
      <alignment vertical="center" shrinkToFit="1"/>
      <protection locked="0"/>
    </xf>
    <xf numFmtId="0" fontId="2" fillId="3" borderId="19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1" fillId="0" borderId="43" xfId="0" applyFont="1" applyBorder="1" applyAlignment="1" applyProtection="1">
      <alignment horizontal="center" vertical="center" wrapText="1"/>
    </xf>
    <xf numFmtId="0" fontId="1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37" xfId="0" applyFont="1" applyFill="1" applyBorder="1" applyAlignment="1" applyProtection="1">
      <alignment vertical="center" wrapText="1"/>
    </xf>
    <xf numFmtId="0" fontId="2" fillId="3" borderId="18" xfId="0" applyFont="1" applyFill="1" applyBorder="1" applyAlignment="1" applyProtection="1">
      <alignment vertical="center" wrapText="1"/>
    </xf>
    <xf numFmtId="0" fontId="1" fillId="0" borderId="0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0" fontId="19" fillId="0" borderId="24" xfId="2" applyBorder="1" applyProtection="1"/>
    <xf numFmtId="0" fontId="19" fillId="0" borderId="12" xfId="2" applyBorder="1" applyAlignment="1" applyProtection="1">
      <alignment horizontal="center"/>
    </xf>
    <xf numFmtId="14" fontId="29" fillId="0" borderId="60" xfId="0" applyNumberFormat="1" applyFont="1" applyBorder="1" applyAlignment="1" applyProtection="1">
      <alignment horizontal="left" vertical="center"/>
    </xf>
    <xf numFmtId="14" fontId="29" fillId="0" borderId="64" xfId="0" applyNumberFormat="1" applyFont="1" applyBorder="1" applyAlignment="1" applyProtection="1">
      <alignment horizontal="left" vertical="center"/>
    </xf>
    <xf numFmtId="0" fontId="14" fillId="0" borderId="0" xfId="0" applyFont="1" applyAlignment="1" applyProtection="1">
      <alignment horizontal="left" vertical="center"/>
    </xf>
    <xf numFmtId="14" fontId="29" fillId="0" borderId="58" xfId="0" applyNumberFormat="1" applyFont="1" applyBorder="1" applyAlignment="1" applyProtection="1">
      <alignment horizontal="left" vertical="center"/>
    </xf>
    <xf numFmtId="14" fontId="29" fillId="0" borderId="63" xfId="0" applyNumberFormat="1" applyFont="1" applyBorder="1" applyAlignment="1" applyProtection="1">
      <alignment horizontal="left" vertical="center"/>
    </xf>
    <xf numFmtId="14" fontId="29" fillId="0" borderId="24" xfId="0" applyNumberFormat="1" applyFont="1" applyBorder="1" applyAlignment="1" applyProtection="1">
      <alignment horizontal="left" vertical="center"/>
    </xf>
    <xf numFmtId="14" fontId="29" fillId="0" borderId="25" xfId="0" applyNumberFormat="1" applyFont="1" applyBorder="1" applyAlignment="1" applyProtection="1">
      <alignment vertical="center"/>
    </xf>
    <xf numFmtId="14" fontId="29" fillId="0" borderId="5" xfId="0" applyNumberFormat="1" applyFont="1" applyBorder="1" applyAlignment="1" applyProtection="1">
      <alignment horizontal="left" vertical="center"/>
    </xf>
    <xf numFmtId="14" fontId="11" fillId="0" borderId="5" xfId="0" applyNumberFormat="1" applyFont="1" applyBorder="1" applyAlignment="1" applyProtection="1">
      <alignment horizontal="center" vertical="center"/>
    </xf>
    <xf numFmtId="9" fontId="11" fillId="0" borderId="7" xfId="6" applyFont="1" applyBorder="1" applyAlignment="1" applyProtection="1">
      <alignment vertical="center" shrinkToFit="1"/>
    </xf>
    <xf numFmtId="0" fontId="11" fillId="0" borderId="7" xfId="0" applyFont="1" applyBorder="1" applyAlignment="1" applyProtection="1">
      <alignment horizontal="center" wrapText="1"/>
    </xf>
    <xf numFmtId="14" fontId="11" fillId="0" borderId="7" xfId="0" applyNumberFormat="1" applyFont="1" applyBorder="1" applyAlignment="1" applyProtection="1">
      <alignment horizontal="center" vertical="center"/>
    </xf>
    <xf numFmtId="168" fontId="11" fillId="0" borderId="7" xfId="0" applyNumberFormat="1" applyFont="1" applyBorder="1" applyAlignment="1" applyProtection="1">
      <alignment horizontal="center"/>
    </xf>
    <xf numFmtId="0" fontId="19" fillId="0" borderId="58" xfId="2" applyBorder="1" applyProtection="1"/>
    <xf numFmtId="0" fontId="19" fillId="0" borderId="54" xfId="2" applyBorder="1" applyAlignment="1" applyProtection="1">
      <alignment horizontal="center"/>
    </xf>
    <xf numFmtId="0" fontId="1" fillId="2" borderId="22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2" fillId="8" borderId="18" xfId="0" applyFont="1" applyFill="1" applyBorder="1" applyAlignment="1" applyProtection="1">
      <alignment horizontal="center" vertical="center" wrapText="1"/>
    </xf>
    <xf numFmtId="0" fontId="7" fillId="0" borderId="40" xfId="0" applyFont="1" applyFill="1" applyBorder="1" applyProtection="1"/>
    <xf numFmtId="0" fontId="2" fillId="8" borderId="18" xfId="0" applyFont="1" applyFill="1" applyBorder="1" applyAlignment="1" applyProtection="1">
      <alignment vertical="center" wrapText="1"/>
    </xf>
    <xf numFmtId="165" fontId="1" fillId="2" borderId="12" xfId="0" applyNumberFormat="1" applyFont="1" applyFill="1" applyBorder="1" applyAlignment="1" applyProtection="1">
      <alignment horizontal="center" vertical="center" wrapText="1"/>
    </xf>
    <xf numFmtId="0" fontId="23" fillId="0" borderId="0" xfId="0" applyFont="1"/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23" fillId="7" borderId="70" xfId="0" applyFont="1" applyFill="1" applyBorder="1" applyAlignment="1">
      <alignment horizontal="center" vertical="center" wrapText="1"/>
    </xf>
    <xf numFmtId="3" fontId="23" fillId="7" borderId="70" xfId="0" applyNumberFormat="1" applyFont="1" applyFill="1" applyBorder="1" applyAlignment="1">
      <alignment horizontal="center" vertical="center" wrapText="1"/>
    </xf>
    <xf numFmtId="0" fontId="23" fillId="7" borderId="71" xfId="0" applyFont="1" applyFill="1" applyBorder="1" applyAlignment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8" borderId="24" xfId="0" applyFont="1" applyFill="1" applyBorder="1" applyAlignment="1" applyProtection="1">
      <alignment vertical="center" wrapText="1"/>
    </xf>
    <xf numFmtId="0" fontId="1" fillId="8" borderId="25" xfId="0" applyFont="1" applyFill="1" applyBorder="1" applyAlignment="1" applyProtection="1">
      <alignment vertical="center" wrapText="1"/>
    </xf>
    <xf numFmtId="165" fontId="1" fillId="8" borderId="21" xfId="0" applyNumberFormat="1" applyFont="1" applyFill="1" applyBorder="1" applyAlignment="1" applyProtection="1">
      <alignment horizontal="center" vertical="center" wrapText="1"/>
    </xf>
    <xf numFmtId="165" fontId="1" fillId="8" borderId="12" xfId="0" applyNumberFormat="1" applyFont="1" applyFill="1" applyBorder="1" applyAlignment="1" applyProtection="1">
      <alignment horizontal="center" vertical="center" wrapText="1"/>
    </xf>
    <xf numFmtId="165" fontId="1" fillId="8" borderId="26" xfId="0" applyNumberFormat="1" applyFont="1" applyFill="1" applyBorder="1" applyAlignment="1" applyProtection="1">
      <alignment horizontal="center" vertical="center" wrapText="1"/>
    </xf>
    <xf numFmtId="14" fontId="2" fillId="0" borderId="18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1" fillId="8" borderId="23" xfId="0" applyFont="1" applyFill="1" applyBorder="1" applyAlignment="1" applyProtection="1">
      <alignment vertical="center" wrapText="1"/>
    </xf>
    <xf numFmtId="0" fontId="27" fillId="8" borderId="15" xfId="0" applyFont="1" applyFill="1" applyBorder="1" applyAlignment="1" applyProtection="1">
      <alignment horizontal="center" vertical="center" wrapText="1"/>
    </xf>
    <xf numFmtId="44" fontId="27" fillId="8" borderId="15" xfId="0" applyNumberFormat="1" applyFont="1" applyFill="1" applyBorder="1" applyAlignment="1" applyProtection="1">
      <alignment horizontal="center" vertical="center" wrapText="1"/>
    </xf>
    <xf numFmtId="0" fontId="1" fillId="0" borderId="50" xfId="0" applyFont="1" applyBorder="1" applyAlignment="1" applyProtection="1">
      <alignment vertical="center" wrapText="1"/>
      <protection locked="0"/>
    </xf>
    <xf numFmtId="0" fontId="2" fillId="8" borderId="50" xfId="0" applyFont="1" applyFill="1" applyBorder="1" applyAlignment="1" applyProtection="1">
      <alignment horizontal="center" vertical="center" wrapText="1"/>
    </xf>
    <xf numFmtId="0" fontId="27" fillId="4" borderId="20" xfId="0" applyFont="1" applyFill="1" applyBorder="1" applyAlignment="1" applyProtection="1">
      <alignment horizontal="center" vertical="center" wrapText="1"/>
    </xf>
    <xf numFmtId="0" fontId="27" fillId="4" borderId="21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1" fillId="0" borderId="0" xfId="0" applyFont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2" fillId="3" borderId="18" xfId="0" applyFont="1" applyFill="1" applyBorder="1" applyAlignment="1" applyProtection="1">
      <alignment vertical="center" wrapText="1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2" fillId="3" borderId="35" xfId="0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center" vertical="center" wrapText="1"/>
      <protection locked="0"/>
    </xf>
    <xf numFmtId="0" fontId="31" fillId="0" borderId="6" xfId="0" applyFont="1" applyBorder="1" applyAlignment="1" applyProtection="1">
      <alignment horizontal="center" vertical="center" wrapText="1"/>
      <protection locked="0"/>
    </xf>
    <xf numFmtId="167" fontId="2" fillId="0" borderId="19" xfId="0" applyNumberFormat="1" applyFont="1" applyBorder="1" applyAlignment="1" applyProtection="1">
      <alignment horizontal="center" vertical="center" wrapText="1"/>
      <protection locked="0"/>
    </xf>
    <xf numFmtId="167" fontId="2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44" fontId="1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Protection="1"/>
    <xf numFmtId="0" fontId="0" fillId="0" borderId="0" xfId="0" applyFill="1" applyBorder="1" applyProtection="1"/>
    <xf numFmtId="0" fontId="0" fillId="0" borderId="0" xfId="0" applyFill="1" applyProtection="1"/>
    <xf numFmtId="0" fontId="22" fillId="0" borderId="0" xfId="0" applyFont="1" applyFill="1" applyBorder="1" applyAlignment="1" applyProtection="1">
      <alignment horizontal="center" vertical="center" wrapText="1"/>
    </xf>
    <xf numFmtId="0" fontId="17" fillId="3" borderId="3" xfId="0" applyFont="1" applyFill="1" applyBorder="1" applyAlignment="1" applyProtection="1">
      <alignment horizontal="center" vertical="center" wrapText="1"/>
    </xf>
    <xf numFmtId="0" fontId="17" fillId="3" borderId="2" xfId="0" applyFont="1" applyFill="1" applyBorder="1" applyAlignment="1" applyProtection="1">
      <alignment horizontal="center" vertical="center" wrapText="1"/>
    </xf>
    <xf numFmtId="167" fontId="2" fillId="0" borderId="16" xfId="0" applyNumberFormat="1" applyFont="1" applyBorder="1" applyAlignment="1" applyProtection="1">
      <alignment horizontal="center" vertical="center" wrapText="1"/>
      <protection locked="0"/>
    </xf>
    <xf numFmtId="167" fontId="2" fillId="0" borderId="44" xfId="0" applyNumberFormat="1" applyFont="1" applyBorder="1" applyAlignment="1" applyProtection="1">
      <alignment horizontal="center" vertical="center" shrinkToFit="1"/>
      <protection locked="0"/>
    </xf>
    <xf numFmtId="167" fontId="2" fillId="0" borderId="12" xfId="0" applyNumberFormat="1" applyFont="1" applyBorder="1" applyAlignment="1" applyProtection="1">
      <alignment horizontal="center" vertical="center" wrapText="1"/>
      <protection locked="0"/>
    </xf>
    <xf numFmtId="167" fontId="2" fillId="0" borderId="14" xfId="0" applyNumberFormat="1" applyFont="1" applyBorder="1" applyAlignment="1" applyProtection="1">
      <alignment horizontal="center" vertical="center" shrinkToFit="1"/>
      <protection locked="0"/>
    </xf>
    <xf numFmtId="167" fontId="2" fillId="0" borderId="26" xfId="0" applyNumberFormat="1" applyFont="1" applyBorder="1" applyAlignment="1" applyProtection="1">
      <alignment horizontal="center" vertical="center" wrapText="1"/>
      <protection locked="0"/>
    </xf>
    <xf numFmtId="167" fontId="2" fillId="0" borderId="27" xfId="0" applyNumberFormat="1" applyFont="1" applyBorder="1" applyAlignment="1" applyProtection="1">
      <alignment horizontal="center" vertical="center" shrinkToFit="1"/>
      <protection locked="0"/>
    </xf>
    <xf numFmtId="17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</xf>
    <xf numFmtId="0" fontId="22" fillId="0" borderId="53" xfId="0" applyFont="1" applyFill="1" applyBorder="1" applyAlignment="1" applyProtection="1">
      <alignment horizontal="center" vertical="center" wrapText="1"/>
    </xf>
    <xf numFmtId="0" fontId="35" fillId="0" borderId="46" xfId="0" applyNumberFormat="1" applyFont="1" applyBorder="1" applyAlignment="1" applyProtection="1">
      <alignment horizontal="center" vertical="center" wrapText="1"/>
      <protection locked="0"/>
    </xf>
    <xf numFmtId="0" fontId="35" fillId="0" borderId="42" xfId="0" applyNumberFormat="1" applyFont="1" applyBorder="1" applyAlignment="1" applyProtection="1">
      <alignment horizontal="center" vertical="center" wrapText="1"/>
      <protection locked="0"/>
    </xf>
    <xf numFmtId="0" fontId="35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</xf>
    <xf numFmtId="0" fontId="36" fillId="3" borderId="17" xfId="0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right"/>
    </xf>
    <xf numFmtId="44" fontId="2" fillId="3" borderId="26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72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61" xfId="0" applyFont="1" applyFill="1" applyBorder="1" applyAlignment="1" applyProtection="1">
      <alignment horizontal="center" vertical="center" wrapText="1"/>
    </xf>
    <xf numFmtId="14" fontId="2" fillId="0" borderId="73" xfId="0" applyNumberFormat="1" applyFont="1" applyBorder="1" applyAlignment="1" applyProtection="1">
      <alignment horizontal="center" vertical="center" wrapText="1"/>
      <protection locked="0"/>
    </xf>
    <xf numFmtId="14" fontId="2" fillId="0" borderId="35" xfId="0" applyNumberFormat="1" applyFont="1" applyBorder="1" applyAlignment="1" applyProtection="1">
      <alignment horizontal="center" vertical="center" wrapText="1"/>
      <protection locked="0"/>
    </xf>
    <xf numFmtId="0" fontId="9" fillId="3" borderId="73" xfId="0" applyFont="1" applyFill="1" applyBorder="1" applyAlignment="1" applyProtection="1">
      <alignment horizontal="center" vertical="center" wrapText="1"/>
    </xf>
    <xf numFmtId="0" fontId="9" fillId="3" borderId="35" xfId="0" applyFont="1" applyFill="1" applyBorder="1" applyAlignment="1" applyProtection="1">
      <alignment horizontal="center" vertical="center" wrapText="1"/>
    </xf>
    <xf numFmtId="0" fontId="17" fillId="3" borderId="10" xfId="0" applyFont="1" applyFill="1" applyBorder="1" applyAlignment="1" applyProtection="1">
      <alignment horizontal="center" vertical="center" wrapText="1"/>
    </xf>
    <xf numFmtId="0" fontId="17" fillId="3" borderId="4" xfId="0" applyFont="1" applyFill="1" applyBorder="1" applyAlignment="1" applyProtection="1">
      <alignment horizontal="center" vertical="center" wrapText="1"/>
    </xf>
    <xf numFmtId="20" fontId="2" fillId="0" borderId="74" xfId="0" applyNumberFormat="1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167" fontId="2" fillId="0" borderId="74" xfId="0" applyNumberFormat="1" applyFont="1" applyBorder="1" applyAlignment="1" applyProtection="1">
      <alignment horizontal="center" vertical="center" wrapText="1"/>
      <protection locked="0"/>
    </xf>
    <xf numFmtId="167" fontId="2" fillId="0" borderId="45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textRotation="90"/>
    </xf>
    <xf numFmtId="0" fontId="22" fillId="6" borderId="1" xfId="0" applyFont="1" applyFill="1" applyBorder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center" vertical="center" wrapText="1"/>
      <protection locked="0"/>
    </xf>
    <xf numFmtId="0" fontId="22" fillId="6" borderId="2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3" borderId="17" xfId="0" applyFont="1" applyFill="1" applyBorder="1" applyAlignment="1" applyProtection="1">
      <alignment horizontal="left" vertical="center" wrapText="1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3" borderId="37" xfId="0" applyFont="1" applyFill="1" applyBorder="1" applyAlignment="1" applyProtection="1">
      <alignment horizontal="left" vertical="center" wrapText="1"/>
    </xf>
    <xf numFmtId="0" fontId="2" fillId="3" borderId="18" xfId="0" applyFont="1" applyFill="1" applyBorder="1" applyAlignment="1" applyProtection="1">
      <alignment horizontal="left" vertical="center" wrapText="1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/>
    </xf>
    <xf numFmtId="0" fontId="2" fillId="3" borderId="37" xfId="0" applyFont="1" applyFill="1" applyBorder="1" applyAlignment="1" applyProtection="1">
      <alignment vertical="center" wrapText="1"/>
    </xf>
    <xf numFmtId="0" fontId="2" fillId="3" borderId="18" xfId="0" applyFont="1" applyFill="1" applyBorder="1" applyAlignment="1" applyProtection="1">
      <alignment vertical="center" wrapText="1"/>
    </xf>
    <xf numFmtId="0" fontId="2" fillId="3" borderId="39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7" fillId="4" borderId="39" xfId="0" applyFont="1" applyFill="1" applyBorder="1" applyAlignment="1" applyProtection="1">
      <alignment horizontal="center"/>
    </xf>
    <xf numFmtId="0" fontId="27" fillId="4" borderId="3" xfId="0" applyFont="1" applyFill="1" applyBorder="1" applyAlignment="1" applyProtection="1">
      <alignment horizontal="center"/>
    </xf>
    <xf numFmtId="0" fontId="27" fillId="4" borderId="2" xfId="0" applyFont="1" applyFill="1" applyBorder="1" applyAlignment="1" applyProtection="1">
      <alignment horizontal="center"/>
    </xf>
    <xf numFmtId="0" fontId="1" fillId="0" borderId="23" xfId="0" applyFont="1" applyBorder="1" applyAlignment="1" applyProtection="1">
      <alignment horizontal="center" vertical="center" wrapText="1"/>
    </xf>
    <xf numFmtId="0" fontId="1" fillId="0" borderId="29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</xf>
    <xf numFmtId="0" fontId="1" fillId="0" borderId="61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32" xfId="0" applyFont="1" applyBorder="1" applyAlignment="1" applyProtection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</xf>
    <xf numFmtId="0" fontId="1" fillId="0" borderId="63" xfId="0" applyFont="1" applyBorder="1" applyAlignment="1" applyProtection="1">
      <alignment horizontal="center" vertical="center" wrapText="1"/>
    </xf>
    <xf numFmtId="0" fontId="1" fillId="0" borderId="67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65" xfId="0" applyFont="1" applyBorder="1" applyAlignment="1" applyProtection="1">
      <alignment horizontal="center" vertical="center" wrapText="1"/>
    </xf>
    <xf numFmtId="0" fontId="1" fillId="0" borderId="66" xfId="0" applyFont="1" applyBorder="1" applyAlignment="1" applyProtection="1">
      <alignment horizontal="center" vertical="center" wrapText="1"/>
    </xf>
    <xf numFmtId="0" fontId="1" fillId="0" borderId="62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center" vertical="center" wrapText="1"/>
      <protection locked="0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8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34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right" vertical="center" wrapText="1"/>
    </xf>
    <xf numFmtId="0" fontId="2" fillId="3" borderId="3" xfId="0" applyFont="1" applyFill="1" applyBorder="1" applyAlignment="1" applyProtection="1">
      <alignment horizontal="right" vertical="center" wrapText="1"/>
    </xf>
    <xf numFmtId="0" fontId="2" fillId="3" borderId="2" xfId="0" applyFont="1" applyFill="1" applyBorder="1" applyAlignment="1" applyProtection="1">
      <alignment horizontal="right" vertical="center" wrapText="1"/>
    </xf>
    <xf numFmtId="0" fontId="1" fillId="0" borderId="43" xfId="0" applyFont="1" applyBorder="1" applyAlignment="1" applyProtection="1">
      <alignment horizontal="center" vertical="center" wrapText="1"/>
    </xf>
    <xf numFmtId="0" fontId="27" fillId="3" borderId="37" xfId="0" applyFont="1" applyFill="1" applyBorder="1" applyAlignment="1" applyProtection="1">
      <alignment horizontal="center"/>
    </xf>
    <xf numFmtId="0" fontId="27" fillId="3" borderId="18" xfId="0" applyFont="1" applyFill="1" applyBorder="1" applyAlignment="1" applyProtection="1">
      <alignment horizontal="center"/>
    </xf>
    <xf numFmtId="0" fontId="27" fillId="3" borderId="19" xfId="0" applyFont="1" applyFill="1" applyBorder="1" applyAlignment="1" applyProtection="1">
      <alignment horizontal="center"/>
    </xf>
    <xf numFmtId="0" fontId="27" fillId="3" borderId="1" xfId="0" applyFont="1" applyFill="1" applyBorder="1" applyAlignment="1" applyProtection="1">
      <alignment horizontal="center" vertical="center"/>
    </xf>
    <xf numFmtId="0" fontId="27" fillId="3" borderId="3" xfId="0" applyFont="1" applyFill="1" applyBorder="1" applyAlignment="1" applyProtection="1">
      <alignment horizontal="center" vertical="center"/>
    </xf>
    <xf numFmtId="0" fontId="27" fillId="3" borderId="17" xfId="0" applyFont="1" applyFill="1" applyBorder="1" applyAlignment="1" applyProtection="1">
      <alignment horizontal="center" vertical="center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27" fillId="4" borderId="21" xfId="0" applyFont="1" applyFill="1" applyBorder="1" applyAlignment="1" applyProtection="1">
      <alignment horizontal="center" vertical="center"/>
    </xf>
    <xf numFmtId="0" fontId="27" fillId="4" borderId="46" xfId="0" applyFont="1" applyFill="1" applyBorder="1" applyAlignment="1" applyProtection="1">
      <alignment horizontal="center" vertical="center"/>
    </xf>
    <xf numFmtId="0" fontId="29" fillId="0" borderId="27" xfId="0" applyFont="1" applyBorder="1" applyAlignment="1" applyProtection="1">
      <alignment horizontal="left" vertical="center" wrapText="1"/>
    </xf>
    <xf numFmtId="0" fontId="29" fillId="0" borderId="59" xfId="0" applyFont="1" applyBorder="1" applyAlignment="1" applyProtection="1">
      <alignment horizontal="left" vertical="center" wrapText="1"/>
    </xf>
    <xf numFmtId="0" fontId="29" fillId="0" borderId="31" xfId="0" applyFont="1" applyBorder="1" applyAlignment="1" applyProtection="1">
      <alignment horizontal="left" vertical="center" wrapText="1"/>
    </xf>
    <xf numFmtId="0" fontId="29" fillId="0" borderId="22" xfId="0" applyFont="1" applyBorder="1" applyAlignment="1" applyProtection="1">
      <alignment horizontal="left" vertical="center" wrapText="1"/>
    </xf>
    <xf numFmtId="0" fontId="29" fillId="0" borderId="23" xfId="0" applyFont="1" applyBorder="1" applyAlignment="1" applyProtection="1">
      <alignment horizontal="left" vertical="center" wrapText="1"/>
    </xf>
    <xf numFmtId="0" fontId="29" fillId="0" borderId="29" xfId="0" applyFont="1" applyBorder="1" applyAlignment="1" applyProtection="1">
      <alignment horizontal="left" vertical="center" wrapText="1"/>
    </xf>
    <xf numFmtId="0" fontId="29" fillId="0" borderId="14" xfId="0" applyFont="1" applyBorder="1" applyAlignment="1" applyProtection="1">
      <alignment horizontal="left" vertical="center" wrapText="1"/>
    </xf>
    <xf numFmtId="0" fontId="29" fillId="0" borderId="13" xfId="0" applyFont="1" applyBorder="1" applyAlignment="1" applyProtection="1">
      <alignment horizontal="left" vertical="center" wrapText="1"/>
    </xf>
    <xf numFmtId="0" fontId="29" fillId="0" borderId="40" xfId="0" applyFont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center" vertical="top" wrapText="1"/>
    </xf>
    <xf numFmtId="0" fontId="27" fillId="3" borderId="3" xfId="0" applyFont="1" applyFill="1" applyBorder="1" applyAlignment="1" applyProtection="1">
      <alignment horizontal="center" vertical="top" wrapText="1"/>
    </xf>
    <xf numFmtId="0" fontId="27" fillId="3" borderId="2" xfId="0" applyFont="1" applyFill="1" applyBorder="1" applyAlignment="1" applyProtection="1">
      <alignment horizontal="center" vertical="top" wrapText="1"/>
    </xf>
    <xf numFmtId="168" fontId="11" fillId="0" borderId="26" xfId="0" applyNumberFormat="1" applyFont="1" applyBorder="1" applyAlignment="1" applyProtection="1">
      <alignment horizontal="center"/>
      <protection locked="0"/>
    </xf>
    <xf numFmtId="168" fontId="11" fillId="0" borderId="28" xfId="0" applyNumberFormat="1" applyFont="1" applyBorder="1" applyAlignment="1" applyProtection="1">
      <alignment horizontal="center"/>
      <protection locked="0"/>
    </xf>
    <xf numFmtId="168" fontId="11" fillId="0" borderId="12" xfId="0" applyNumberFormat="1" applyFont="1" applyBorder="1" applyAlignment="1" applyProtection="1">
      <alignment horizontal="center"/>
      <protection locked="0"/>
    </xf>
    <xf numFmtId="168" fontId="11" fillId="0" borderId="42" xfId="0" applyNumberFormat="1" applyFont="1" applyBorder="1" applyAlignment="1" applyProtection="1">
      <alignment horizontal="center"/>
      <protection locked="0"/>
    </xf>
    <xf numFmtId="168" fontId="11" fillId="0" borderId="12" xfId="0" quotePrefix="1" applyNumberFormat="1" applyFont="1" applyBorder="1" applyAlignment="1" applyProtection="1">
      <alignment horizontal="center"/>
      <protection locked="0"/>
    </xf>
    <xf numFmtId="14" fontId="11" fillId="0" borderId="26" xfId="0" applyNumberFormat="1" applyFont="1" applyBorder="1" applyAlignment="1" applyProtection="1">
      <alignment horizontal="center" vertical="center"/>
      <protection locked="0"/>
    </xf>
    <xf numFmtId="14" fontId="11" fillId="0" borderId="12" xfId="0" applyNumberFormat="1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wrapText="1"/>
      <protection locked="0"/>
    </xf>
    <xf numFmtId="0" fontId="11" fillId="0" borderId="12" xfId="0" applyFont="1" applyBorder="1" applyAlignment="1" applyProtection="1">
      <alignment horizontal="center" wrapText="1"/>
      <protection locked="0"/>
    </xf>
    <xf numFmtId="0" fontId="26" fillId="3" borderId="3" xfId="0" applyFont="1" applyFill="1" applyBorder="1" applyAlignment="1" applyProtection="1">
      <alignment horizontal="center"/>
    </xf>
    <xf numFmtId="0" fontId="26" fillId="3" borderId="2" xfId="0" applyFont="1" applyFill="1" applyBorder="1" applyAlignment="1" applyProtection="1">
      <alignment horizontal="center"/>
    </xf>
    <xf numFmtId="14" fontId="11" fillId="0" borderId="10" xfId="0" applyNumberFormat="1" applyFont="1" applyBorder="1" applyAlignment="1" applyProtection="1">
      <alignment horizontal="center" vertical="center"/>
      <protection locked="0"/>
    </xf>
    <xf numFmtId="14" fontId="11" fillId="0" borderId="5" xfId="0" applyNumberFormat="1" applyFont="1" applyBorder="1" applyAlignment="1" applyProtection="1">
      <alignment horizontal="center" vertical="center"/>
      <protection locked="0"/>
    </xf>
    <xf numFmtId="0" fontId="26" fillId="3" borderId="1" xfId="0" applyFont="1" applyFill="1" applyBorder="1" applyAlignment="1" applyProtection="1">
      <alignment horizontal="center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27" fillId="3" borderId="1" xfId="0" applyFont="1" applyFill="1" applyBorder="1" applyAlignment="1" applyProtection="1">
      <alignment horizontal="center"/>
    </xf>
    <xf numFmtId="0" fontId="27" fillId="3" borderId="3" xfId="0" applyFont="1" applyFill="1" applyBorder="1" applyAlignment="1" applyProtection="1">
      <alignment horizontal="center"/>
    </xf>
    <xf numFmtId="0" fontId="27" fillId="3" borderId="2" xfId="0" applyFont="1" applyFill="1" applyBorder="1" applyAlignment="1" applyProtection="1">
      <alignment horizontal="center"/>
    </xf>
    <xf numFmtId="0" fontId="28" fillId="0" borderId="10" xfId="0" applyFont="1" applyFill="1" applyBorder="1" applyAlignment="1" applyProtection="1">
      <alignment horizontal="center"/>
      <protection locked="0"/>
    </xf>
    <xf numFmtId="0" fontId="28" fillId="0" borderId="53" xfId="0" applyFont="1" applyFill="1" applyBorder="1" applyAlignment="1" applyProtection="1">
      <alignment horizontal="center"/>
      <protection locked="0"/>
    </xf>
    <xf numFmtId="0" fontId="28" fillId="0" borderId="11" xfId="0" applyFont="1" applyFill="1" applyBorder="1" applyAlignment="1" applyProtection="1">
      <alignment horizontal="center"/>
      <protection locked="0"/>
    </xf>
    <xf numFmtId="0" fontId="28" fillId="0" borderId="5" xfId="0" applyFont="1" applyFill="1" applyBorder="1" applyAlignment="1" applyProtection="1">
      <alignment horizontal="center"/>
      <protection locked="0"/>
    </xf>
    <xf numFmtId="0" fontId="28" fillId="0" borderId="7" xfId="0" applyFont="1" applyFill="1" applyBorder="1" applyAlignment="1" applyProtection="1">
      <alignment horizontal="center"/>
      <protection locked="0"/>
    </xf>
    <xf numFmtId="0" fontId="28" fillId="0" borderId="6" xfId="0" applyFont="1" applyFill="1" applyBorder="1" applyAlignment="1" applyProtection="1">
      <alignment horizontal="center"/>
      <protection locked="0"/>
    </xf>
    <xf numFmtId="0" fontId="27" fillId="3" borderId="33" xfId="0" applyFont="1" applyFill="1" applyBorder="1" applyAlignment="1" applyProtection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  <protection locked="0"/>
    </xf>
    <xf numFmtId="14" fontId="2" fillId="0" borderId="39" xfId="0" applyNumberFormat="1" applyFont="1" applyBorder="1" applyAlignment="1" applyProtection="1">
      <alignment horizontal="center" vertical="center" wrapText="1"/>
      <protection locked="0"/>
    </xf>
    <xf numFmtId="14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</xf>
    <xf numFmtId="0" fontId="2" fillId="3" borderId="37" xfId="0" applyFont="1" applyFill="1" applyBorder="1" applyAlignment="1" applyProtection="1">
      <alignment horizontal="center" vertical="center" wrapText="1"/>
    </xf>
    <xf numFmtId="0" fontId="2" fillId="3" borderId="39" xfId="0" applyFont="1" applyFill="1" applyBorder="1" applyAlignment="1" applyProtection="1">
      <alignment horizontal="center" vertical="center" wrapText="1"/>
    </xf>
    <xf numFmtId="0" fontId="2" fillId="4" borderId="33" xfId="0" applyFont="1" applyFill="1" applyBorder="1" applyAlignment="1" applyProtection="1">
      <alignment horizontal="center" vertical="center" wrapText="1"/>
    </xf>
    <xf numFmtId="169" fontId="24" fillId="0" borderId="22" xfId="1" applyNumberFormat="1" applyFont="1" applyBorder="1" applyAlignment="1" applyProtection="1">
      <alignment horizontal="center"/>
      <protection locked="0"/>
    </xf>
    <xf numFmtId="169" fontId="24" fillId="0" borderId="29" xfId="1" applyNumberFormat="1" applyFont="1" applyBorder="1" applyAlignment="1" applyProtection="1">
      <alignment horizontal="center"/>
      <protection locked="0"/>
    </xf>
    <xf numFmtId="169" fontId="24" fillId="0" borderId="27" xfId="1" applyNumberFormat="1" applyFont="1" applyBorder="1" applyAlignment="1" applyProtection="1">
      <alignment horizontal="center"/>
      <protection locked="0"/>
    </xf>
    <xf numFmtId="169" fontId="24" fillId="0" borderId="31" xfId="1" applyNumberFormat="1" applyFont="1" applyBorder="1" applyAlignment="1" applyProtection="1">
      <alignment horizontal="center"/>
      <protection locked="0"/>
    </xf>
    <xf numFmtId="0" fontId="2" fillId="3" borderId="17" xfId="0" applyFont="1" applyFill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vertical="center" wrapText="1"/>
    </xf>
    <xf numFmtId="0" fontId="1" fillId="0" borderId="7" xfId="0" applyFont="1" applyBorder="1" applyAlignment="1" applyProtection="1">
      <alignment vertical="center" wrapText="1"/>
    </xf>
    <xf numFmtId="0" fontId="2" fillId="0" borderId="39" xfId="0" applyFont="1" applyFill="1" applyBorder="1" applyAlignment="1" applyProtection="1">
      <alignment horizontal="center" vertical="center" shrinkToFit="1"/>
      <protection locked="0"/>
    </xf>
    <xf numFmtId="0" fontId="2" fillId="0" borderId="17" xfId="0" applyFont="1" applyFill="1" applyBorder="1" applyAlignment="1" applyProtection="1">
      <alignment horizontal="center" vertical="center" shrinkToFi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34" fillId="8" borderId="3" xfId="0" applyFont="1" applyFill="1" applyBorder="1" applyAlignment="1" applyProtection="1">
      <alignment horizontal="center" vertical="center" wrapText="1"/>
    </xf>
    <xf numFmtId="0" fontId="34" fillId="8" borderId="2" xfId="0" applyFont="1" applyFill="1" applyBorder="1" applyAlignment="1" applyProtection="1">
      <alignment horizontal="center" vertical="center" wrapText="1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2" fillId="4" borderId="39" xfId="0" applyFont="1" applyFill="1" applyBorder="1" applyAlignment="1" applyProtection="1">
      <alignment horizontal="center" vertical="center" wrapText="1"/>
    </xf>
    <xf numFmtId="0" fontId="2" fillId="4" borderId="3" xfId="0" applyFont="1" applyFill="1" applyBorder="1" applyAlignment="1" applyProtection="1">
      <alignment horizontal="center" vertical="center" wrapText="1"/>
    </xf>
    <xf numFmtId="0" fontId="2" fillId="4" borderId="17" xfId="0" applyFont="1" applyFill="1" applyBorder="1" applyAlignment="1" applyProtection="1">
      <alignment horizontal="center" vertical="center" wrapText="1"/>
    </xf>
    <xf numFmtId="14" fontId="2" fillId="0" borderId="22" xfId="0" applyNumberFormat="1" applyFont="1" applyBorder="1" applyAlignment="1" applyProtection="1">
      <alignment horizontal="center" vertical="center" wrapText="1"/>
      <protection locked="0"/>
    </xf>
    <xf numFmtId="14" fontId="2" fillId="0" borderId="23" xfId="0" applyNumberFormat="1" applyFont="1" applyBorder="1" applyAlignment="1" applyProtection="1">
      <alignment horizontal="center" vertical="center" wrapText="1"/>
      <protection locked="0"/>
    </xf>
    <xf numFmtId="14" fontId="2" fillId="0" borderId="43" xfId="0" applyNumberFormat="1" applyFont="1" applyBorder="1" applyAlignment="1" applyProtection="1">
      <alignment horizontal="center" vertical="center" wrapText="1"/>
      <protection locked="0"/>
    </xf>
    <xf numFmtId="14" fontId="2" fillId="0" borderId="27" xfId="0" applyNumberFormat="1" applyFont="1" applyBorder="1" applyAlignment="1" applyProtection="1">
      <alignment horizontal="center" vertical="center" wrapText="1"/>
      <protection locked="0"/>
    </xf>
    <xf numFmtId="14" fontId="2" fillId="0" borderId="59" xfId="0" applyNumberFormat="1" applyFont="1" applyBorder="1" applyAlignment="1" applyProtection="1">
      <alignment horizontal="center" vertical="center" wrapText="1"/>
      <protection locked="0"/>
    </xf>
    <xf numFmtId="14" fontId="2" fillId="0" borderId="32" xfId="0" applyNumberFormat="1" applyFont="1" applyBorder="1" applyAlignment="1" applyProtection="1">
      <alignment horizontal="center" vertical="center" wrapText="1"/>
      <protection locked="0"/>
    </xf>
    <xf numFmtId="14" fontId="2" fillId="0" borderId="14" xfId="0" applyNumberFormat="1" applyFont="1" applyBorder="1" applyAlignment="1" applyProtection="1">
      <alignment horizontal="center" vertical="center" wrapText="1"/>
      <protection locked="0"/>
    </xf>
    <xf numFmtId="14" fontId="2" fillId="0" borderId="13" xfId="0" applyNumberFormat="1" applyFont="1" applyBorder="1" applyAlignment="1" applyProtection="1">
      <alignment horizontal="center" vertical="center" wrapText="1"/>
      <protection locked="0"/>
    </xf>
    <xf numFmtId="14" fontId="2" fillId="0" borderId="15" xfId="0" applyNumberFormat="1" applyFont="1" applyBorder="1" applyAlignment="1" applyProtection="1">
      <alignment horizontal="center" vertical="center" wrapText="1"/>
      <protection locked="0"/>
    </xf>
    <xf numFmtId="0" fontId="2" fillId="4" borderId="19" xfId="0" applyFont="1" applyFill="1" applyBorder="1" applyAlignment="1" applyProtection="1">
      <alignment horizontal="center" vertical="center" wrapText="1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22" fillId="0" borderId="53" xfId="0" applyFont="1" applyFill="1" applyBorder="1" applyAlignment="1" applyProtection="1">
      <alignment horizontal="center" vertical="center" wrapText="1"/>
      <protection locked="0"/>
    </xf>
    <xf numFmtId="0" fontId="35" fillId="0" borderId="75" xfId="0" applyFont="1" applyBorder="1" applyAlignment="1" applyProtection="1">
      <alignment horizontal="center" vertical="center" wrapText="1"/>
    </xf>
    <xf numFmtId="0" fontId="35" fillId="0" borderId="76" xfId="0" applyFont="1" applyBorder="1" applyAlignment="1" applyProtection="1">
      <alignment horizontal="center" vertical="center" wrapText="1"/>
    </xf>
    <xf numFmtId="0" fontId="35" fillId="0" borderId="63" xfId="0" applyFont="1" applyBorder="1" applyAlignment="1" applyProtection="1">
      <alignment horizontal="center" vertical="center" wrapText="1"/>
    </xf>
    <xf numFmtId="0" fontId="35" fillId="0" borderId="13" xfId="0" applyFont="1" applyBorder="1" applyAlignment="1" applyProtection="1">
      <alignment horizontal="center" vertical="center" wrapText="1"/>
    </xf>
    <xf numFmtId="0" fontId="35" fillId="0" borderId="67" xfId="0" applyFont="1" applyBorder="1" applyAlignment="1" applyProtection="1">
      <alignment horizontal="center" vertical="center" wrapText="1"/>
    </xf>
    <xf numFmtId="0" fontId="35" fillId="0" borderId="59" xfId="0" applyFont="1" applyBorder="1" applyAlignment="1" applyProtection="1">
      <alignment horizontal="center" vertical="center" wrapText="1"/>
    </xf>
    <xf numFmtId="0" fontId="35" fillId="0" borderId="15" xfId="0" applyFont="1" applyBorder="1" applyAlignment="1" applyProtection="1">
      <alignment horizontal="center" vertical="center" wrapText="1"/>
    </xf>
    <xf numFmtId="0" fontId="1" fillId="8" borderId="24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vertical="center" wrapText="1"/>
    </xf>
    <xf numFmtId="0" fontId="1" fillId="8" borderId="20" xfId="0" applyFont="1" applyFill="1" applyBorder="1" applyAlignment="1" applyProtection="1">
      <alignment vertical="center" wrapText="1"/>
    </xf>
    <xf numFmtId="0" fontId="1" fillId="8" borderId="21" xfId="0" applyFont="1" applyFill="1" applyBorder="1" applyAlignment="1" applyProtection="1">
      <alignment vertical="center" wrapText="1"/>
    </xf>
    <xf numFmtId="0" fontId="2" fillId="3" borderId="30" xfId="0" applyFont="1" applyFill="1" applyBorder="1" applyAlignment="1" applyProtection="1">
      <alignment horizontal="center" vertical="center" wrapText="1"/>
    </xf>
    <xf numFmtId="0" fontId="2" fillId="3" borderId="35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right" vertical="center" wrapText="1" indent="2"/>
    </xf>
    <xf numFmtId="0" fontId="2" fillId="3" borderId="3" xfId="0" applyFont="1" applyFill="1" applyBorder="1" applyAlignment="1" applyProtection="1">
      <alignment horizontal="right" vertical="center" wrapText="1" indent="2"/>
    </xf>
    <xf numFmtId="0" fontId="2" fillId="3" borderId="2" xfId="0" applyFont="1" applyFill="1" applyBorder="1" applyAlignment="1" applyProtection="1">
      <alignment horizontal="right" vertical="center" wrapText="1" indent="2"/>
    </xf>
    <xf numFmtId="0" fontId="1" fillId="8" borderId="41" xfId="0" applyFont="1" applyFill="1" applyBorder="1" applyAlignment="1" applyProtection="1">
      <alignment vertical="center" wrapText="1"/>
    </xf>
    <xf numFmtId="0" fontId="1" fillId="8" borderId="16" xfId="0" applyFont="1" applyFill="1" applyBorder="1" applyAlignment="1" applyProtection="1">
      <alignment vertical="center" wrapText="1"/>
    </xf>
    <xf numFmtId="0" fontId="2" fillId="8" borderId="1" xfId="0" applyFont="1" applyFill="1" applyBorder="1" applyAlignment="1" applyProtection="1">
      <alignment horizontal="center" vertical="center" wrapText="1"/>
    </xf>
    <xf numFmtId="0" fontId="2" fillId="8" borderId="3" xfId="0" applyFont="1" applyFill="1" applyBorder="1" applyAlignment="1" applyProtection="1">
      <alignment horizontal="center" vertical="center" wrapText="1"/>
    </xf>
    <xf numFmtId="0" fontId="2" fillId="8" borderId="2" xfId="0" applyFont="1" applyFill="1" applyBorder="1" applyAlignment="1" applyProtection="1">
      <alignment horizontal="center" vertical="center" wrapText="1"/>
    </xf>
    <xf numFmtId="0" fontId="2" fillId="8" borderId="18" xfId="0" applyFont="1" applyFill="1" applyBorder="1" applyAlignment="1" applyProtection="1">
      <alignment horizontal="center" vertical="center" wrapText="1"/>
    </xf>
    <xf numFmtId="0" fontId="2" fillId="8" borderId="19" xfId="0" applyFont="1" applyFill="1" applyBorder="1" applyAlignment="1" applyProtection="1">
      <alignment horizontal="center" vertical="center" wrapText="1"/>
    </xf>
    <xf numFmtId="0" fontId="2" fillId="3" borderId="30" xfId="0" applyFont="1" applyFill="1" applyBorder="1" applyAlignment="1" applyProtection="1">
      <alignment horizontal="left" vertical="center" wrapText="1"/>
    </xf>
    <xf numFmtId="0" fontId="2" fillId="3" borderId="35" xfId="0" applyFont="1" applyFill="1" applyBorder="1" applyAlignment="1" applyProtection="1">
      <alignment horizontal="left" vertical="center" wrapText="1"/>
    </xf>
    <xf numFmtId="0" fontId="1" fillId="0" borderId="39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2" fillId="0" borderId="53" xfId="0" applyFont="1" applyFill="1" applyBorder="1" applyAlignment="1" applyProtection="1">
      <alignment horizontal="center" vertical="center" wrapText="1"/>
    </xf>
    <xf numFmtId="0" fontId="20" fillId="5" borderId="33" xfId="0" applyFont="1" applyFill="1" applyBorder="1" applyAlignment="1" applyProtection="1">
      <alignment horizontal="center" vertical="center" textRotation="90"/>
    </xf>
    <xf numFmtId="0" fontId="20" fillId="5" borderId="34" xfId="0" applyFont="1" applyFill="1" applyBorder="1" applyAlignment="1" applyProtection="1">
      <alignment horizontal="center" vertical="center" textRotation="90"/>
    </xf>
    <xf numFmtId="14" fontId="2" fillId="8" borderId="3" xfId="0" applyNumberFormat="1" applyFont="1" applyFill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2" fillId="8" borderId="39" xfId="0" applyFont="1" applyFill="1" applyBorder="1" applyAlignment="1" applyProtection="1">
      <alignment horizontal="center" vertical="center" wrapText="1"/>
    </xf>
    <xf numFmtId="167" fontId="31" fillId="3" borderId="33" xfId="0" applyNumberFormat="1" applyFont="1" applyFill="1" applyBorder="1" applyAlignment="1" applyProtection="1">
      <alignment horizontal="justify" vertical="center" wrapText="1"/>
    </xf>
    <xf numFmtId="167" fontId="31" fillId="3" borderId="4" xfId="0" applyNumberFormat="1" applyFont="1" applyFill="1" applyBorder="1" applyAlignment="1" applyProtection="1">
      <alignment horizontal="justify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3" borderId="17" xfId="0" applyFont="1" applyFill="1" applyBorder="1" applyAlignment="1" applyProtection="1">
      <alignment horizontal="center" vertical="center" wrapText="1"/>
    </xf>
    <xf numFmtId="0" fontId="18" fillId="0" borderId="8" xfId="0" applyFont="1" applyBorder="1" applyAlignment="1" applyProtection="1">
      <alignment horizontal="center" vertical="center" textRotation="90" wrapText="1"/>
    </xf>
    <xf numFmtId="0" fontId="18" fillId="0" borderId="0" xfId="0" applyFont="1" applyBorder="1" applyAlignment="1" applyProtection="1">
      <alignment horizontal="center" vertical="center" textRotation="90" wrapText="1"/>
    </xf>
    <xf numFmtId="0" fontId="9" fillId="0" borderId="10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</xf>
    <xf numFmtId="0" fontId="16" fillId="0" borderId="3" xfId="0" applyFont="1" applyBorder="1" applyAlignment="1" applyProtection="1">
      <alignment horizontal="center"/>
    </xf>
    <xf numFmtId="0" fontId="16" fillId="4" borderId="10" xfId="0" applyFont="1" applyFill="1" applyBorder="1" applyAlignment="1" applyProtection="1">
      <alignment horizontal="center"/>
    </xf>
    <xf numFmtId="0" fontId="16" fillId="4" borderId="53" xfId="0" applyFont="1" applyFill="1" applyBorder="1" applyAlignment="1" applyProtection="1">
      <alignment horizontal="center"/>
    </xf>
    <xf numFmtId="0" fontId="16" fillId="4" borderId="11" xfId="0" applyFont="1" applyFill="1" applyBorder="1" applyAlignment="1" applyProtection="1">
      <alignment horizontal="center"/>
    </xf>
    <xf numFmtId="0" fontId="16" fillId="4" borderId="5" xfId="0" applyFont="1" applyFill="1" applyBorder="1" applyAlignment="1" applyProtection="1">
      <alignment horizontal="center"/>
    </xf>
    <xf numFmtId="0" fontId="16" fillId="4" borderId="7" xfId="0" applyFont="1" applyFill="1" applyBorder="1" applyAlignment="1" applyProtection="1">
      <alignment horizontal="center"/>
    </xf>
    <xf numFmtId="0" fontId="16" fillId="4" borderId="6" xfId="0" applyFont="1" applyFill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0" fontId="1" fillId="8" borderId="32" xfId="0" applyFont="1" applyFill="1" applyBorder="1" applyAlignment="1" applyProtection="1">
      <alignment vertical="center" wrapText="1"/>
    </xf>
    <xf numFmtId="0" fontId="1" fillId="8" borderId="26" xfId="0" applyFont="1" applyFill="1" applyBorder="1" applyAlignment="1" applyProtection="1">
      <alignment vertical="center" wrapText="1"/>
    </xf>
    <xf numFmtId="0" fontId="2" fillId="9" borderId="1" xfId="0" applyFont="1" applyFill="1" applyBorder="1" applyAlignment="1" applyProtection="1">
      <alignment horizontal="center" vertical="center" wrapText="1"/>
    </xf>
    <xf numFmtId="0" fontId="2" fillId="9" borderId="3" xfId="0" applyFont="1" applyFill="1" applyBorder="1" applyAlignment="1" applyProtection="1">
      <alignment horizontal="center" vertical="center" wrapText="1"/>
    </xf>
    <xf numFmtId="0" fontId="2" fillId="9" borderId="2" xfId="0" applyFont="1" applyFill="1" applyBorder="1" applyAlignment="1" applyProtection="1">
      <alignment horizontal="center" vertical="center" wrapText="1"/>
    </xf>
    <xf numFmtId="0" fontId="2" fillId="9" borderId="1" xfId="0" applyFont="1" applyFill="1" applyBorder="1" applyAlignment="1" applyProtection="1">
      <alignment horizontal="right" vertical="center" wrapText="1"/>
    </xf>
    <xf numFmtId="0" fontId="2" fillId="9" borderId="3" xfId="0" applyFont="1" applyFill="1" applyBorder="1" applyAlignment="1" applyProtection="1">
      <alignment horizontal="right" vertical="center" wrapText="1"/>
    </xf>
    <xf numFmtId="0" fontId="33" fillId="0" borderId="0" xfId="0" applyFont="1" applyBorder="1" applyAlignment="1" applyProtection="1">
      <alignment horizontal="left" vertical="center" wrapText="1"/>
    </xf>
    <xf numFmtId="0" fontId="12" fillId="0" borderId="10" xfId="0" applyFont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center" vertical="center" wrapText="1"/>
    </xf>
    <xf numFmtId="0" fontId="12" fillId="0" borderId="9" xfId="0" applyFont="1" applyBorder="1" applyAlignment="1" applyProtection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1" fillId="0" borderId="22" xfId="0" applyFont="1" applyFill="1" applyBorder="1" applyAlignment="1" applyProtection="1">
      <alignment horizontal="center" vertical="center" wrapText="1"/>
      <protection locked="0"/>
    </xf>
    <xf numFmtId="0" fontId="1" fillId="0" borderId="29" xfId="0" applyFont="1" applyFill="1" applyBorder="1" applyAlignment="1" applyProtection="1">
      <alignment horizontal="center" vertical="center" wrapText="1"/>
      <protection locked="0"/>
    </xf>
    <xf numFmtId="0" fontId="1" fillId="8" borderId="22" xfId="0" applyFont="1" applyFill="1" applyBorder="1" applyAlignment="1" applyProtection="1">
      <alignment horizontal="right" vertical="center" wrapText="1"/>
    </xf>
    <xf numFmtId="0" fontId="1" fillId="8" borderId="43" xfId="0" applyFont="1" applyFill="1" applyBorder="1" applyAlignment="1" applyProtection="1">
      <alignment horizontal="right"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1" fillId="8" borderId="30" xfId="0" applyFont="1" applyFill="1" applyBorder="1" applyAlignment="1" applyProtection="1">
      <alignment vertical="center" wrapText="1"/>
    </xf>
    <xf numFmtId="0" fontId="1" fillId="8" borderId="35" xfId="0" applyFont="1" applyFill="1" applyBorder="1" applyAlignment="1" applyProtection="1">
      <alignment vertical="center" wrapText="1"/>
    </xf>
    <xf numFmtId="0" fontId="26" fillId="8" borderId="14" xfId="0" applyFont="1" applyFill="1" applyBorder="1" applyAlignment="1" applyProtection="1">
      <alignment vertical="center" wrapText="1"/>
    </xf>
    <xf numFmtId="0" fontId="26" fillId="8" borderId="13" xfId="0" applyFont="1" applyFill="1" applyBorder="1" applyAlignment="1" applyProtection="1">
      <alignment vertical="center" wrapText="1"/>
    </xf>
    <xf numFmtId="0" fontId="1" fillId="0" borderId="24" xfId="0" applyFont="1" applyBorder="1" applyAlignment="1" applyProtection="1">
      <alignment vertical="center" wrapText="1"/>
    </xf>
    <xf numFmtId="0" fontId="1" fillId="0" borderId="12" xfId="0" applyFont="1" applyBorder="1" applyAlignment="1" applyProtection="1">
      <alignment vertical="center" wrapText="1"/>
    </xf>
    <xf numFmtId="0" fontId="1" fillId="8" borderId="25" xfId="0" applyFont="1" applyFill="1" applyBorder="1" applyAlignment="1" applyProtection="1">
      <alignment vertical="center" wrapText="1"/>
    </xf>
  </cellXfs>
  <cellStyles count="7">
    <cellStyle name="Milliers" xfId="1" builtinId="3"/>
    <cellStyle name="Milliers 2" xfId="3"/>
    <cellStyle name="Monétaire 2" xfId="5"/>
    <cellStyle name="Normal" xfId="0" builtinId="0"/>
    <cellStyle name="Normal 2" xfId="2"/>
    <cellStyle name="Normal 4" xfId="4"/>
    <cellStyle name="Pourcentage" xfId="6" builtinId="5"/>
  </cellStyles>
  <dxfs count="97">
    <dxf>
      <font>
        <b/>
        <i val="0"/>
        <color rgb="FFC00000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b val="0"/>
        <i val="0"/>
        <color theme="0"/>
      </font>
      <numFmt numFmtId="30" formatCode="@"/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5" tint="0.79998168889431442"/>
      </font>
      <fill>
        <patternFill>
          <bgColor theme="5" tint="0.79998168889431442"/>
        </patternFill>
      </fill>
      <border>
        <bottom/>
        <vertical/>
        <horizontal/>
      </border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b val="0"/>
        <i val="0"/>
        <color theme="0"/>
      </font>
      <numFmt numFmtId="30" formatCode="@"/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1"/>
      </font>
      <fill>
        <patternFill>
          <bgColor theme="9" tint="-0.24994659260841701"/>
        </patternFill>
      </fill>
    </dxf>
    <dxf>
      <font>
        <b/>
        <i val="0"/>
        <color auto="1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theme="9" tint="-0.24994659260841701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57150</xdr:rowOff>
    </xdr:from>
    <xdr:to>
      <xdr:col>3</xdr:col>
      <xdr:colOff>95251</xdr:colOff>
      <xdr:row>2</xdr:row>
      <xdr:rowOff>22017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57150"/>
          <a:ext cx="2019300" cy="42206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21</xdr:row>
          <xdr:rowOff>314325</xdr:rowOff>
        </xdr:from>
        <xdr:to>
          <xdr:col>2</xdr:col>
          <xdr:colOff>685800</xdr:colOff>
          <xdr:row>23</xdr:row>
          <xdr:rowOff>19050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22</xdr:row>
          <xdr:rowOff>171450</xdr:rowOff>
        </xdr:from>
        <xdr:to>
          <xdr:col>2</xdr:col>
          <xdr:colOff>685800</xdr:colOff>
          <xdr:row>24</xdr:row>
          <xdr:rowOff>9525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34</xdr:row>
          <xdr:rowOff>0</xdr:rowOff>
        </xdr:from>
        <xdr:to>
          <xdr:col>2</xdr:col>
          <xdr:colOff>685800</xdr:colOff>
          <xdr:row>35</xdr:row>
          <xdr:rowOff>9525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37</xdr:row>
          <xdr:rowOff>133350</xdr:rowOff>
        </xdr:from>
        <xdr:to>
          <xdr:col>2</xdr:col>
          <xdr:colOff>685800</xdr:colOff>
          <xdr:row>38</xdr:row>
          <xdr:rowOff>180975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34</xdr:row>
          <xdr:rowOff>28575</xdr:rowOff>
        </xdr:from>
        <xdr:to>
          <xdr:col>5</xdr:col>
          <xdr:colOff>685800</xdr:colOff>
          <xdr:row>35</xdr:row>
          <xdr:rowOff>9525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37</xdr:row>
          <xdr:rowOff>133350</xdr:rowOff>
        </xdr:from>
        <xdr:to>
          <xdr:col>5</xdr:col>
          <xdr:colOff>685800</xdr:colOff>
          <xdr:row>38</xdr:row>
          <xdr:rowOff>180975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35</xdr:row>
          <xdr:rowOff>133350</xdr:rowOff>
        </xdr:from>
        <xdr:to>
          <xdr:col>2</xdr:col>
          <xdr:colOff>685800</xdr:colOff>
          <xdr:row>36</xdr:row>
          <xdr:rowOff>180975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35</xdr:row>
          <xdr:rowOff>133350</xdr:rowOff>
        </xdr:from>
        <xdr:to>
          <xdr:col>5</xdr:col>
          <xdr:colOff>685800</xdr:colOff>
          <xdr:row>36</xdr:row>
          <xdr:rowOff>180975</xdr:rowOff>
        </xdr:to>
        <xdr:sp macro="" textlink="">
          <xdr:nvSpPr>
            <xdr:cNvPr id="5133" name="Check Box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48</xdr:row>
          <xdr:rowOff>76200</xdr:rowOff>
        </xdr:from>
        <xdr:to>
          <xdr:col>1</xdr:col>
          <xdr:colOff>685800</xdr:colOff>
          <xdr:row>49</xdr:row>
          <xdr:rowOff>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0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49</xdr:row>
          <xdr:rowOff>66675</xdr:rowOff>
        </xdr:from>
        <xdr:to>
          <xdr:col>1</xdr:col>
          <xdr:colOff>685800</xdr:colOff>
          <xdr:row>49</xdr:row>
          <xdr:rowOff>295275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0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50</xdr:row>
          <xdr:rowOff>76200</xdr:rowOff>
        </xdr:from>
        <xdr:to>
          <xdr:col>1</xdr:col>
          <xdr:colOff>685800</xdr:colOff>
          <xdr:row>51</xdr:row>
          <xdr:rowOff>0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0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51</xdr:row>
          <xdr:rowOff>47625</xdr:rowOff>
        </xdr:from>
        <xdr:to>
          <xdr:col>1</xdr:col>
          <xdr:colOff>685800</xdr:colOff>
          <xdr:row>51</xdr:row>
          <xdr:rowOff>276225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0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48</xdr:row>
          <xdr:rowOff>47625</xdr:rowOff>
        </xdr:from>
        <xdr:to>
          <xdr:col>5</xdr:col>
          <xdr:colOff>685800</xdr:colOff>
          <xdr:row>49</xdr:row>
          <xdr:rowOff>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0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49</xdr:row>
          <xdr:rowOff>47625</xdr:rowOff>
        </xdr:from>
        <xdr:to>
          <xdr:col>5</xdr:col>
          <xdr:colOff>685800</xdr:colOff>
          <xdr:row>49</xdr:row>
          <xdr:rowOff>276225</xdr:rowOff>
        </xdr:to>
        <xdr:sp macro="" textlink="">
          <xdr:nvSpPr>
            <xdr:cNvPr id="5161" name="Check Box 41" hidden="1">
              <a:extLst>
                <a:ext uri="{63B3BB69-23CF-44E3-9099-C40C66FF867C}">
                  <a14:compatExt spid="_x0000_s5161"/>
                </a:ext>
                <a:ext uri="{FF2B5EF4-FFF2-40B4-BE49-F238E27FC236}">
                  <a16:creationId xmlns:a16="http://schemas.microsoft.com/office/drawing/2014/main" id="{00000000-0008-0000-0000-00002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50</xdr:row>
          <xdr:rowOff>47625</xdr:rowOff>
        </xdr:from>
        <xdr:to>
          <xdr:col>5</xdr:col>
          <xdr:colOff>685800</xdr:colOff>
          <xdr:row>51</xdr:row>
          <xdr:rowOff>0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0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51</xdr:row>
          <xdr:rowOff>47625</xdr:rowOff>
        </xdr:from>
        <xdr:to>
          <xdr:col>5</xdr:col>
          <xdr:colOff>685800</xdr:colOff>
          <xdr:row>51</xdr:row>
          <xdr:rowOff>276225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40</xdr:row>
          <xdr:rowOff>0</xdr:rowOff>
        </xdr:from>
        <xdr:to>
          <xdr:col>2</xdr:col>
          <xdr:colOff>685800</xdr:colOff>
          <xdr:row>41</xdr:row>
          <xdr:rowOff>0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43</xdr:row>
          <xdr:rowOff>133350</xdr:rowOff>
        </xdr:from>
        <xdr:to>
          <xdr:col>2</xdr:col>
          <xdr:colOff>685800</xdr:colOff>
          <xdr:row>44</xdr:row>
          <xdr:rowOff>171450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40</xdr:row>
          <xdr:rowOff>28575</xdr:rowOff>
        </xdr:from>
        <xdr:to>
          <xdr:col>5</xdr:col>
          <xdr:colOff>685800</xdr:colOff>
          <xdr:row>41</xdr:row>
          <xdr:rowOff>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43</xdr:row>
          <xdr:rowOff>133350</xdr:rowOff>
        </xdr:from>
        <xdr:to>
          <xdr:col>5</xdr:col>
          <xdr:colOff>685800</xdr:colOff>
          <xdr:row>44</xdr:row>
          <xdr:rowOff>171450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41</xdr:row>
          <xdr:rowOff>133350</xdr:rowOff>
        </xdr:from>
        <xdr:to>
          <xdr:col>2</xdr:col>
          <xdr:colOff>685800</xdr:colOff>
          <xdr:row>42</xdr:row>
          <xdr:rowOff>171450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0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41</xdr:row>
          <xdr:rowOff>133350</xdr:rowOff>
        </xdr:from>
        <xdr:to>
          <xdr:col>5</xdr:col>
          <xdr:colOff>685800</xdr:colOff>
          <xdr:row>42</xdr:row>
          <xdr:rowOff>171450</xdr:rowOff>
        </xdr:to>
        <xdr:sp macro="" textlink="">
          <xdr:nvSpPr>
            <xdr:cNvPr id="5171" name="Check Box 51" hidden="1">
              <a:extLst>
                <a:ext uri="{63B3BB69-23CF-44E3-9099-C40C66FF867C}">
                  <a14:compatExt spid="_x0000_s5171"/>
                </a:ext>
                <a:ext uri="{FF2B5EF4-FFF2-40B4-BE49-F238E27FC236}">
                  <a16:creationId xmlns:a16="http://schemas.microsoft.com/office/drawing/2014/main" id="{00000000-0008-0000-0000-00003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114301</xdr:colOff>
      <xdr:row>0</xdr:row>
      <xdr:rowOff>161925</xdr:rowOff>
    </xdr:from>
    <xdr:to>
      <xdr:col>3</xdr:col>
      <xdr:colOff>228601</xdr:colOff>
      <xdr:row>3</xdr:row>
      <xdr:rowOff>12492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6" y="161925"/>
          <a:ext cx="2019300" cy="4220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XFD79"/>
  <sheetViews>
    <sheetView showGridLines="0" showRowColHeaders="0" topLeftCell="A13" workbookViewId="0">
      <selection activeCell="D6" sqref="D6:E6"/>
    </sheetView>
  </sheetViews>
  <sheetFormatPr baseColWidth="10" defaultColWidth="0" defaultRowHeight="15" zeroHeight="1" x14ac:dyDescent="0.25"/>
  <cols>
    <col min="1" max="1" width="2.28515625" style="7" customWidth="1"/>
    <col min="2" max="2" width="16.140625" style="7" customWidth="1"/>
    <col min="3" max="4" width="13.42578125" style="7" customWidth="1"/>
    <col min="5" max="5" width="11.42578125" style="7" customWidth="1"/>
    <col min="6" max="6" width="12.7109375" style="7" customWidth="1"/>
    <col min="7" max="7" width="13.42578125" style="7" customWidth="1"/>
    <col min="8" max="8" width="14.5703125" style="7" customWidth="1"/>
    <col min="9" max="9" width="13" style="7" customWidth="1"/>
    <col min="10" max="10" width="1.42578125" style="7" customWidth="1"/>
    <col min="11" max="16384" width="0" style="7" hidden="1"/>
  </cols>
  <sheetData>
    <row r="1" spans="2:12 16382:16384" ht="21" x14ac:dyDescent="0.25">
      <c r="B1" s="100" t="s">
        <v>271</v>
      </c>
      <c r="C1" s="34"/>
      <c r="D1" s="234" t="s">
        <v>309</v>
      </c>
      <c r="E1" s="234"/>
      <c r="F1" s="234"/>
      <c r="G1" s="234"/>
      <c r="H1" s="234"/>
      <c r="I1" s="42"/>
      <c r="J1" s="34"/>
      <c r="K1" s="34"/>
    </row>
    <row r="2" spans="2:12 16382:16384" x14ac:dyDescent="0.25">
      <c r="B2" s="34"/>
      <c r="C2" s="34"/>
      <c r="D2" s="235" t="s">
        <v>331</v>
      </c>
      <c r="E2" s="235"/>
      <c r="F2" s="235"/>
      <c r="G2" s="235"/>
      <c r="H2" s="235"/>
      <c r="I2" s="42"/>
      <c r="J2" s="34"/>
      <c r="K2" s="34"/>
    </row>
    <row r="3" spans="2:12 16382:16384" ht="6" customHeight="1" thickBot="1" x14ac:dyDescent="0.3">
      <c r="B3" s="43"/>
      <c r="C3" s="34"/>
      <c r="D3" s="34"/>
      <c r="E3" s="34"/>
      <c r="F3" s="34"/>
      <c r="G3" s="34"/>
      <c r="H3" s="34"/>
      <c r="I3" s="42"/>
      <c r="J3" s="34"/>
      <c r="K3" s="34"/>
      <c r="XFB3" s="124"/>
      <c r="XFC3" s="125"/>
    </row>
    <row r="4" spans="2:12 16382:16384" ht="15.75" thickBot="1" x14ac:dyDescent="0.3">
      <c r="B4" s="225" t="s">
        <v>333</v>
      </c>
      <c r="C4" s="226"/>
      <c r="D4" s="227" t="s">
        <v>386</v>
      </c>
      <c r="E4" s="228"/>
      <c r="F4" s="228"/>
      <c r="G4" s="228"/>
      <c r="H4" s="228"/>
      <c r="I4" s="229"/>
      <c r="J4" s="34"/>
      <c r="K4" s="34"/>
    </row>
    <row r="5" spans="2:12 16382:16384" ht="6.75" customHeight="1" thickBot="1" x14ac:dyDescent="0.3">
      <c r="B5" s="44"/>
      <c r="C5" s="34"/>
      <c r="D5" s="34"/>
      <c r="E5" s="34"/>
      <c r="F5" s="34"/>
      <c r="G5" s="34"/>
      <c r="H5" s="34"/>
      <c r="I5" s="42"/>
      <c r="J5" s="34"/>
      <c r="K5" s="34"/>
    </row>
    <row r="6" spans="2:12 16382:16384" ht="15.75" thickBot="1" x14ac:dyDescent="0.3">
      <c r="B6" s="236" t="s">
        <v>0</v>
      </c>
      <c r="C6" s="237"/>
      <c r="D6" s="227"/>
      <c r="E6" s="334"/>
      <c r="F6" s="238" t="s">
        <v>1</v>
      </c>
      <c r="G6" s="226"/>
      <c r="H6" s="335"/>
      <c r="I6" s="336"/>
      <c r="J6" s="34"/>
      <c r="K6" s="34"/>
    </row>
    <row r="7" spans="2:12 16382:16384" ht="6.75" customHeight="1" thickBot="1" x14ac:dyDescent="0.3">
      <c r="B7" s="44"/>
      <c r="C7" s="34"/>
      <c r="D7" s="34"/>
      <c r="E7" s="34"/>
      <c r="F7" s="34"/>
      <c r="G7" s="34"/>
      <c r="H7" s="34"/>
      <c r="I7" s="42"/>
      <c r="J7" s="34"/>
      <c r="K7" s="34"/>
    </row>
    <row r="8" spans="2:12 16382:16384" ht="15.75" thickBot="1" x14ac:dyDescent="0.3">
      <c r="B8" s="230" t="s">
        <v>15</v>
      </c>
      <c r="C8" s="231"/>
      <c r="D8" s="232"/>
      <c r="E8" s="232"/>
      <c r="F8" s="232"/>
      <c r="G8" s="232"/>
      <c r="H8" s="232"/>
      <c r="I8" s="233"/>
      <c r="J8" s="34"/>
      <c r="K8" s="34"/>
    </row>
    <row r="9" spans="2:12 16382:16384" ht="15.75" thickBot="1" x14ac:dyDescent="0.3">
      <c r="B9" s="230" t="s">
        <v>305</v>
      </c>
      <c r="C9" s="231"/>
      <c r="D9" s="232"/>
      <c r="E9" s="232"/>
      <c r="F9" s="232"/>
      <c r="G9" s="232"/>
      <c r="H9" s="232"/>
      <c r="I9" s="233"/>
      <c r="J9" s="34"/>
      <c r="K9" s="34"/>
    </row>
    <row r="10" spans="2:12 16382:16384" ht="23.25" thickBot="1" x14ac:dyDescent="0.3">
      <c r="B10" s="207" t="s">
        <v>13</v>
      </c>
      <c r="C10" s="208"/>
      <c r="D10" s="211"/>
      <c r="E10" s="213" t="s">
        <v>344</v>
      </c>
      <c r="F10" s="217"/>
      <c r="G10" s="215" t="s">
        <v>287</v>
      </c>
      <c r="H10" s="187" t="s">
        <v>346</v>
      </c>
      <c r="I10" s="188" t="s">
        <v>347</v>
      </c>
      <c r="J10" s="34"/>
      <c r="K10" s="34"/>
    </row>
    <row r="11" spans="2:12 16382:16384" ht="21" customHeight="1" thickBot="1" x14ac:dyDescent="0.3">
      <c r="B11" s="209"/>
      <c r="C11" s="210"/>
      <c r="D11" s="212"/>
      <c r="E11" s="214"/>
      <c r="F11" s="218"/>
      <c r="G11" s="216"/>
      <c r="H11" s="175"/>
      <c r="I11" s="172"/>
      <c r="J11" s="34"/>
      <c r="K11" s="34"/>
    </row>
    <row r="12" spans="2:12 16382:16384" ht="23.25" thickBot="1" x14ac:dyDescent="0.3">
      <c r="B12" s="207" t="s">
        <v>14</v>
      </c>
      <c r="C12" s="208"/>
      <c r="D12" s="211"/>
      <c r="E12" s="213" t="s">
        <v>345</v>
      </c>
      <c r="F12" s="219"/>
      <c r="G12" s="215" t="s">
        <v>287</v>
      </c>
      <c r="H12" s="187" t="s">
        <v>346</v>
      </c>
      <c r="I12" s="188" t="s">
        <v>347</v>
      </c>
      <c r="J12" s="34"/>
      <c r="K12" s="34"/>
    </row>
    <row r="13" spans="2:12 16382:16384" ht="21" customHeight="1" thickBot="1" x14ac:dyDescent="0.3">
      <c r="B13" s="209"/>
      <c r="C13" s="210"/>
      <c r="D13" s="212"/>
      <c r="E13" s="214"/>
      <c r="F13" s="220"/>
      <c r="G13" s="216"/>
      <c r="H13" s="176"/>
      <c r="I13" s="173"/>
      <c r="J13" s="34"/>
      <c r="K13" s="34"/>
    </row>
    <row r="14" spans="2:12 16382:16384" ht="6.75" customHeight="1" thickBot="1" x14ac:dyDescent="0.3"/>
    <row r="15" spans="2:12 16382:16384" ht="16.5" customHeight="1" thickBot="1" x14ac:dyDescent="0.3">
      <c r="B15" s="268" t="s">
        <v>352</v>
      </c>
      <c r="C15" s="269"/>
      <c r="D15" s="270"/>
      <c r="E15" s="222" t="s">
        <v>358</v>
      </c>
      <c r="F15" s="223"/>
      <c r="G15" s="223"/>
      <c r="H15" s="223"/>
      <c r="I15" s="224"/>
      <c r="J15" s="34"/>
      <c r="K15" s="34"/>
      <c r="L15" s="40"/>
    </row>
    <row r="16" spans="2:12 16382:16384" ht="2.25" customHeight="1" thickBot="1" x14ac:dyDescent="0.3">
      <c r="B16" s="118"/>
      <c r="C16" s="337"/>
      <c r="D16" s="337"/>
      <c r="E16" s="206"/>
      <c r="F16" s="206"/>
      <c r="G16" s="206"/>
      <c r="H16" s="206"/>
      <c r="I16" s="206"/>
      <c r="J16" s="34"/>
      <c r="K16" s="34"/>
      <c r="L16" s="40"/>
      <c r="XFD16" s="7">
        <v>26</v>
      </c>
    </row>
    <row r="17" spans="2:12 16384:16384" ht="16.5" customHeight="1" thickBot="1" x14ac:dyDescent="0.3">
      <c r="B17" s="268" t="s">
        <v>351</v>
      </c>
      <c r="C17" s="269"/>
      <c r="D17" s="270"/>
      <c r="E17" s="222" t="s">
        <v>358</v>
      </c>
      <c r="F17" s="223"/>
      <c r="G17" s="223"/>
      <c r="H17" s="352" t="str">
        <f>IF(SCHEMA_MISSION="CHOIX A FAIRE EN CLIQUANT ICI","",IF(SCHEMA_MISSION="MISSION FORFAIT","Schéma Sifac : Forfaitaire","Schéma Sifac : Frais Réels"))</f>
        <v/>
      </c>
      <c r="I17" s="353"/>
      <c r="J17" s="34"/>
      <c r="K17" s="34"/>
      <c r="L17" s="40"/>
    </row>
    <row r="18" spans="2:12 16384:16384" ht="9" customHeight="1" thickBot="1" x14ac:dyDescent="0.3">
      <c r="B18" s="169"/>
      <c r="C18" s="337"/>
      <c r="D18" s="337"/>
      <c r="E18" s="206"/>
      <c r="F18" s="206"/>
      <c r="G18" s="206"/>
      <c r="H18" s="206"/>
      <c r="I18" s="206"/>
      <c r="J18" s="34"/>
      <c r="K18" s="34"/>
      <c r="L18" s="40"/>
      <c r="XFD18" s="7">
        <v>26</v>
      </c>
    </row>
    <row r="19" spans="2:12 16384:16384" ht="15.75" customHeight="1" thickBot="1" x14ac:dyDescent="0.3">
      <c r="B19" s="120" t="str">
        <f>IF(E15="MISSION ETRANGER","Pays","")</f>
        <v/>
      </c>
      <c r="C19" s="348"/>
      <c r="D19" s="349"/>
      <c r="E19" s="121" t="str">
        <f>IF(E15="MISSION ETRANGER","Devise IJ","")</f>
        <v/>
      </c>
      <c r="F19" s="85" t="str">
        <f>IF(C19="","",VLOOKUP(C19,BASE_IJ,2,FALSE))</f>
        <v/>
      </c>
      <c r="G19" s="338" t="str">
        <f>IF(F19="EURO","","Taux de change")</f>
        <v>Taux de change</v>
      </c>
      <c r="H19" s="339"/>
      <c r="I19" s="164"/>
      <c r="J19" s="122"/>
      <c r="K19" s="34"/>
      <c r="L19" s="40"/>
      <c r="XFD19" s="7">
        <v>27</v>
      </c>
    </row>
    <row r="20" spans="2:12 16384:16384" ht="15.75" customHeight="1" thickBot="1" x14ac:dyDescent="0.3">
      <c r="B20" s="186" t="s">
        <v>350</v>
      </c>
      <c r="C20" s="371"/>
      <c r="D20" s="371"/>
      <c r="E20" s="83"/>
      <c r="F20" s="84"/>
      <c r="G20" s="239" t="s">
        <v>266</v>
      </c>
      <c r="H20" s="240"/>
      <c r="I20" s="165" t="str">
        <f>IF(PAYS="","",IF(F19="EURO",VLOOKUP(C19,BASE_IJ,3,FALSE),VLOOKUP(C19,BASE_IJ,3,FALSE)*I19))</f>
        <v/>
      </c>
      <c r="J20" s="34"/>
      <c r="K20" s="34"/>
      <c r="L20" s="40"/>
      <c r="XFD20" s="7">
        <v>28</v>
      </c>
    </row>
    <row r="21" spans="2:12 16384:16384" ht="9" customHeight="1" thickBot="1" x14ac:dyDescent="0.3">
      <c r="B21" s="118"/>
      <c r="C21" s="346"/>
      <c r="D21" s="346"/>
      <c r="E21" s="347"/>
      <c r="F21" s="347"/>
      <c r="G21" s="347"/>
      <c r="H21" s="347"/>
      <c r="I21" s="347"/>
      <c r="J21" s="34"/>
      <c r="K21" s="34"/>
      <c r="L21" s="40"/>
      <c r="XFD21" s="7">
        <v>29</v>
      </c>
    </row>
    <row r="22" spans="2:12 16384:16384" ht="26.25" customHeight="1" thickBot="1" x14ac:dyDescent="0.3">
      <c r="B22" s="239"/>
      <c r="C22" s="240"/>
      <c r="D22" s="345"/>
      <c r="E22" s="119" t="s">
        <v>290</v>
      </c>
      <c r="F22" s="119" t="s">
        <v>291</v>
      </c>
      <c r="G22" s="119" t="s">
        <v>292</v>
      </c>
      <c r="H22" s="339" t="s">
        <v>293</v>
      </c>
      <c r="I22" s="241"/>
    </row>
    <row r="23" spans="2:12 16384:16384" ht="15" customHeight="1" x14ac:dyDescent="0.25">
      <c r="B23" s="340" t="s">
        <v>294</v>
      </c>
      <c r="C23" s="106"/>
      <c r="D23" s="115" t="s">
        <v>288</v>
      </c>
      <c r="E23" s="4"/>
      <c r="F23" s="1"/>
      <c r="G23" s="1"/>
      <c r="H23" s="341"/>
      <c r="I23" s="342"/>
    </row>
    <row r="24" spans="2:12 16384:16384" ht="15.75" thickBot="1" x14ac:dyDescent="0.3">
      <c r="B24" s="267"/>
      <c r="C24" s="107"/>
      <c r="D24" s="116" t="s">
        <v>289</v>
      </c>
      <c r="E24" s="5"/>
      <c r="F24" s="3"/>
      <c r="G24" s="3"/>
      <c r="H24" s="343"/>
      <c r="I24" s="344"/>
    </row>
    <row r="25" spans="2:12 16384:16384" ht="15.75" thickBot="1" x14ac:dyDescent="0.3">
      <c r="B25" s="239" t="s">
        <v>348</v>
      </c>
      <c r="C25" s="240"/>
      <c r="D25" s="240"/>
      <c r="E25" s="240"/>
      <c r="F25" s="240"/>
      <c r="G25" s="240"/>
      <c r="H25" s="240"/>
      <c r="I25" s="241"/>
    </row>
    <row r="26" spans="2:12 16384:16384" ht="26.25" thickBot="1" x14ac:dyDescent="0.3">
      <c r="B26" s="66" t="s">
        <v>36</v>
      </c>
      <c r="C26" s="67" t="s">
        <v>301</v>
      </c>
      <c r="D26" s="68" t="s">
        <v>302</v>
      </c>
      <c r="E26" s="356" t="s">
        <v>300</v>
      </c>
      <c r="F26" s="357"/>
      <c r="G26" s="358"/>
      <c r="H26" s="358" t="s">
        <v>37</v>
      </c>
      <c r="I26" s="368"/>
    </row>
    <row r="27" spans="2:12 16384:16384" x14ac:dyDescent="0.25">
      <c r="B27" s="28"/>
      <c r="C27" s="189"/>
      <c r="D27" s="190"/>
      <c r="E27" s="359"/>
      <c r="F27" s="360"/>
      <c r="G27" s="361"/>
      <c r="H27" s="369"/>
      <c r="I27" s="370"/>
    </row>
    <row r="28" spans="2:12 16384:16384" x14ac:dyDescent="0.25">
      <c r="B28" s="29"/>
      <c r="C28" s="191"/>
      <c r="D28" s="192"/>
      <c r="E28" s="365"/>
      <c r="F28" s="366"/>
      <c r="G28" s="367"/>
      <c r="H28" s="350"/>
      <c r="I28" s="351"/>
    </row>
    <row r="29" spans="2:12 16384:16384" x14ac:dyDescent="0.25">
      <c r="B29" s="29"/>
      <c r="C29" s="191"/>
      <c r="D29" s="192"/>
      <c r="E29" s="365"/>
      <c r="F29" s="366"/>
      <c r="G29" s="367"/>
      <c r="H29" s="350"/>
      <c r="I29" s="351"/>
    </row>
    <row r="30" spans="2:12 16384:16384" x14ac:dyDescent="0.25">
      <c r="B30" s="29"/>
      <c r="C30" s="191"/>
      <c r="D30" s="192"/>
      <c r="E30" s="365"/>
      <c r="F30" s="366"/>
      <c r="G30" s="367"/>
      <c r="H30" s="350"/>
      <c r="I30" s="351"/>
    </row>
    <row r="31" spans="2:12 16384:16384" x14ac:dyDescent="0.25">
      <c r="B31" s="29"/>
      <c r="C31" s="191"/>
      <c r="D31" s="192"/>
      <c r="E31" s="365"/>
      <c r="F31" s="366"/>
      <c r="G31" s="367"/>
      <c r="H31" s="350"/>
      <c r="I31" s="351"/>
    </row>
    <row r="32" spans="2:12 16384:16384" x14ac:dyDescent="0.25">
      <c r="B32" s="29"/>
      <c r="C32" s="191"/>
      <c r="D32" s="192"/>
      <c r="E32" s="365"/>
      <c r="F32" s="366"/>
      <c r="G32" s="367"/>
      <c r="H32" s="350"/>
      <c r="I32" s="351"/>
    </row>
    <row r="33" spans="2:9" ht="15.75" customHeight="1" thickBot="1" x14ac:dyDescent="0.3">
      <c r="B33" s="30"/>
      <c r="C33" s="193"/>
      <c r="D33" s="194"/>
      <c r="E33" s="362"/>
      <c r="F33" s="363"/>
      <c r="G33" s="364"/>
      <c r="H33" s="354"/>
      <c r="I33" s="355"/>
    </row>
    <row r="34" spans="2:9" ht="6" customHeight="1" thickBot="1" x14ac:dyDescent="0.3"/>
    <row r="35" spans="2:9" ht="25.5" customHeight="1" x14ac:dyDescent="0.25">
      <c r="B35" s="263" t="s">
        <v>299</v>
      </c>
      <c r="C35" s="106"/>
      <c r="D35" s="245" t="s">
        <v>286</v>
      </c>
      <c r="E35" s="271"/>
      <c r="F35" s="108"/>
      <c r="G35" s="245" t="s">
        <v>295</v>
      </c>
      <c r="H35" s="245"/>
      <c r="I35" s="246"/>
    </row>
    <row r="36" spans="2:9" x14ac:dyDescent="0.25">
      <c r="B36" s="264"/>
      <c r="C36" s="255"/>
      <c r="D36" s="251" t="s">
        <v>284</v>
      </c>
      <c r="E36" s="252"/>
      <c r="F36" s="257"/>
      <c r="G36" s="247" t="s">
        <v>285</v>
      </c>
      <c r="H36" s="259" t="s">
        <v>296</v>
      </c>
      <c r="I36" s="260"/>
    </row>
    <row r="37" spans="2:9" ht="26.25" customHeight="1" x14ac:dyDescent="0.25">
      <c r="B37" s="264"/>
      <c r="C37" s="255"/>
      <c r="D37" s="251"/>
      <c r="E37" s="252"/>
      <c r="F37" s="257"/>
      <c r="G37" s="247"/>
      <c r="H37" s="261" t="s">
        <v>322</v>
      </c>
      <c r="I37" s="262"/>
    </row>
    <row r="38" spans="2:9" x14ac:dyDescent="0.25">
      <c r="B38" s="264"/>
      <c r="C38" s="255"/>
      <c r="D38" s="251" t="s">
        <v>297</v>
      </c>
      <c r="E38" s="252"/>
      <c r="F38" s="257"/>
      <c r="G38" s="247" t="s">
        <v>283</v>
      </c>
      <c r="H38" s="259" t="s">
        <v>298</v>
      </c>
      <c r="I38" s="260"/>
    </row>
    <row r="39" spans="2:9" ht="26.25" customHeight="1" thickBot="1" x14ac:dyDescent="0.3">
      <c r="B39" s="265"/>
      <c r="C39" s="256"/>
      <c r="D39" s="253"/>
      <c r="E39" s="254"/>
      <c r="F39" s="258"/>
      <c r="G39" s="248"/>
      <c r="H39" s="249" t="s">
        <v>322</v>
      </c>
      <c r="I39" s="250"/>
    </row>
    <row r="40" spans="2:9" ht="6.75" customHeight="1" thickBot="1" x14ac:dyDescent="0.3"/>
    <row r="41" spans="2:9" ht="25.5" customHeight="1" x14ac:dyDescent="0.25">
      <c r="B41" s="263" t="s">
        <v>310</v>
      </c>
      <c r="C41" s="106"/>
      <c r="D41" s="245" t="s">
        <v>311</v>
      </c>
      <c r="E41" s="271"/>
      <c r="F41" s="108"/>
      <c r="G41" s="245" t="s">
        <v>314</v>
      </c>
      <c r="H41" s="245"/>
      <c r="I41" s="246"/>
    </row>
    <row r="42" spans="2:9" ht="15" customHeight="1" x14ac:dyDescent="0.25">
      <c r="B42" s="264"/>
      <c r="C42" s="255"/>
      <c r="D42" s="251" t="s">
        <v>312</v>
      </c>
      <c r="E42" s="252"/>
      <c r="F42" s="257"/>
      <c r="G42" s="247" t="s">
        <v>283</v>
      </c>
      <c r="H42" s="259" t="s">
        <v>298</v>
      </c>
      <c r="I42" s="260"/>
    </row>
    <row r="43" spans="2:9" ht="26.25" customHeight="1" x14ac:dyDescent="0.25">
      <c r="B43" s="264"/>
      <c r="C43" s="255"/>
      <c r="D43" s="251"/>
      <c r="E43" s="252"/>
      <c r="F43" s="257"/>
      <c r="G43" s="247"/>
      <c r="H43" s="261" t="s">
        <v>322</v>
      </c>
      <c r="I43" s="262"/>
    </row>
    <row r="44" spans="2:9" x14ac:dyDescent="0.25">
      <c r="B44" s="264"/>
      <c r="C44" s="255"/>
      <c r="D44" s="251" t="s">
        <v>313</v>
      </c>
      <c r="E44" s="252"/>
      <c r="F44" s="257"/>
      <c r="G44" s="247" t="s">
        <v>283</v>
      </c>
      <c r="H44" s="259" t="s">
        <v>298</v>
      </c>
      <c r="I44" s="260"/>
    </row>
    <row r="45" spans="2:9" ht="26.25" customHeight="1" thickBot="1" x14ac:dyDescent="0.3">
      <c r="B45" s="265"/>
      <c r="C45" s="256"/>
      <c r="D45" s="253"/>
      <c r="E45" s="254"/>
      <c r="F45" s="258"/>
      <c r="G45" s="248"/>
      <c r="H45" s="249" t="s">
        <v>322</v>
      </c>
      <c r="I45" s="250"/>
    </row>
    <row r="46" spans="2:9" ht="6.75" customHeight="1" thickBot="1" x14ac:dyDescent="0.3"/>
    <row r="47" spans="2:9" ht="15.75" customHeight="1" thickBot="1" x14ac:dyDescent="0.3">
      <c r="B47" s="291" t="s">
        <v>306</v>
      </c>
      <c r="C47" s="292"/>
      <c r="D47" s="292"/>
      <c r="E47" s="292"/>
      <c r="F47" s="292"/>
      <c r="G47" s="292"/>
      <c r="H47" s="292"/>
      <c r="I47" s="293"/>
    </row>
    <row r="48" spans="2:9" ht="15.75" thickBot="1" x14ac:dyDescent="0.3">
      <c r="B48" s="105" t="s">
        <v>282</v>
      </c>
      <c r="C48" s="242" t="s">
        <v>281</v>
      </c>
      <c r="D48" s="243"/>
      <c r="E48" s="244"/>
      <c r="F48" s="105" t="s">
        <v>282</v>
      </c>
      <c r="G48" s="109"/>
      <c r="H48" s="104" t="s">
        <v>281</v>
      </c>
      <c r="I48" s="103"/>
    </row>
    <row r="49" spans="1:9" s="128" customFormat="1" ht="30" customHeight="1" x14ac:dyDescent="0.25">
      <c r="B49" s="126"/>
      <c r="C49" s="285" t="s">
        <v>319</v>
      </c>
      <c r="D49" s="286"/>
      <c r="E49" s="287"/>
      <c r="F49" s="127"/>
      <c r="G49" s="285" t="s">
        <v>280</v>
      </c>
      <c r="H49" s="286"/>
      <c r="I49" s="287"/>
    </row>
    <row r="50" spans="1:9" s="128" customFormat="1" ht="30" customHeight="1" x14ac:dyDescent="0.25">
      <c r="B50" s="129"/>
      <c r="C50" s="288" t="s">
        <v>320</v>
      </c>
      <c r="D50" s="289"/>
      <c r="E50" s="290"/>
      <c r="F50" s="130"/>
      <c r="G50" s="288" t="s">
        <v>279</v>
      </c>
      <c r="H50" s="289"/>
      <c r="I50" s="290"/>
    </row>
    <row r="51" spans="1:9" s="128" customFormat="1" ht="30" customHeight="1" x14ac:dyDescent="0.25">
      <c r="B51" s="131"/>
      <c r="C51" s="288" t="s">
        <v>321</v>
      </c>
      <c r="D51" s="289"/>
      <c r="E51" s="290"/>
      <c r="F51" s="130"/>
      <c r="G51" s="288" t="s">
        <v>325</v>
      </c>
      <c r="H51" s="289"/>
      <c r="I51" s="290"/>
    </row>
    <row r="52" spans="1:9" s="128" customFormat="1" ht="30" customHeight="1" thickBot="1" x14ac:dyDescent="0.3">
      <c r="B52" s="132"/>
      <c r="C52" s="282" t="s">
        <v>315</v>
      </c>
      <c r="D52" s="283"/>
      <c r="E52" s="284"/>
      <c r="F52" s="133"/>
      <c r="G52" s="282" t="s">
        <v>326</v>
      </c>
      <c r="H52" s="283"/>
      <c r="I52" s="284"/>
    </row>
    <row r="53" spans="1:9" ht="10.5" customHeight="1" thickBot="1" x14ac:dyDescent="0.3"/>
    <row r="54" spans="1:9" ht="15.75" thickBot="1" x14ac:dyDescent="0.3">
      <c r="B54" s="275" t="str">
        <f>IF(E54="Oui","Demande d'avance : ","Demande d'avance :")</f>
        <v>Demande d'avance :</v>
      </c>
      <c r="C54" s="276"/>
      <c r="D54" s="277"/>
      <c r="E54" s="278" t="s">
        <v>355</v>
      </c>
      <c r="F54" s="279"/>
    </row>
    <row r="55" spans="1:9" ht="7.5" customHeight="1" thickBot="1" x14ac:dyDescent="0.3"/>
    <row r="56" spans="1:9" ht="15" customHeight="1" thickBot="1" x14ac:dyDescent="0.3">
      <c r="B56" s="239" t="s">
        <v>356</v>
      </c>
      <c r="C56" s="240"/>
      <c r="D56" s="240"/>
      <c r="E56" s="112" t="s">
        <v>5</v>
      </c>
      <c r="F56" s="239" t="s">
        <v>356</v>
      </c>
      <c r="G56" s="240"/>
      <c r="H56" s="240"/>
      <c r="I56" s="112" t="s">
        <v>5</v>
      </c>
    </row>
    <row r="57" spans="1:9" ht="21" customHeight="1" x14ac:dyDescent="0.25">
      <c r="B57" s="266" t="s">
        <v>22</v>
      </c>
      <c r="C57" s="372" t="str">
        <f>IF(E15="MISSION ETRANGER","Repas pris à titre onéreux (Etranger)","Repas (Tarif forfait)")</f>
        <v>Repas (Tarif forfait)</v>
      </c>
      <c r="D57" s="373"/>
      <c r="E57" s="199"/>
      <c r="F57" s="266" t="s">
        <v>304</v>
      </c>
      <c r="G57" s="372" t="s">
        <v>357</v>
      </c>
      <c r="H57" s="373"/>
      <c r="I57" s="199"/>
    </row>
    <row r="58" spans="1:9" ht="21" customHeight="1" x14ac:dyDescent="0.25">
      <c r="B58" s="266"/>
      <c r="C58" s="374" t="str">
        <f>IF(E15="MISSION ETRANGER","Repas pris à titre onéreux (France)","Repas dans un restaurant administratif")</f>
        <v>Repas dans un restaurant administratif</v>
      </c>
      <c r="D58" s="375"/>
      <c r="E58" s="200"/>
      <c r="F58" s="266"/>
      <c r="G58" s="374" t="s">
        <v>361</v>
      </c>
      <c r="H58" s="378"/>
      <c r="I58" s="200"/>
    </row>
    <row r="59" spans="1:9" ht="21" customHeight="1" x14ac:dyDescent="0.25">
      <c r="B59" s="266"/>
      <c r="C59" s="374" t="s">
        <v>316</v>
      </c>
      <c r="D59" s="375"/>
      <c r="E59" s="200"/>
      <c r="F59" s="266"/>
      <c r="G59" s="374" t="s">
        <v>318</v>
      </c>
      <c r="H59" s="378"/>
      <c r="I59" s="200"/>
    </row>
    <row r="60" spans="1:9" ht="21" customHeight="1" thickBot="1" x14ac:dyDescent="0.3">
      <c r="B60" s="266"/>
      <c r="C60" s="376" t="s">
        <v>23</v>
      </c>
      <c r="D60" s="377"/>
      <c r="E60" s="201"/>
      <c r="F60" s="266"/>
      <c r="G60" s="374" t="s">
        <v>317</v>
      </c>
      <c r="H60" s="378"/>
      <c r="I60" s="200"/>
    </row>
    <row r="61" spans="1:9" ht="21" customHeight="1" thickBot="1" x14ac:dyDescent="0.3">
      <c r="B61" s="267"/>
      <c r="C61" s="113"/>
      <c r="D61" s="114"/>
      <c r="E61" s="114"/>
      <c r="F61" s="267"/>
      <c r="G61" s="376" t="s">
        <v>45</v>
      </c>
      <c r="H61" s="377"/>
      <c r="I61" s="201"/>
    </row>
    <row r="62" spans="1:9" ht="6.75" customHeight="1" thickBot="1" x14ac:dyDescent="0.3"/>
    <row r="63" spans="1:9" ht="15.75" thickBot="1" x14ac:dyDescent="0.3">
      <c r="A63" s="221" t="s">
        <v>385</v>
      </c>
      <c r="B63" s="272" t="s">
        <v>359</v>
      </c>
      <c r="C63" s="273"/>
      <c r="D63" s="273"/>
      <c r="E63" s="273"/>
      <c r="F63" s="273"/>
      <c r="G63" s="273"/>
      <c r="H63" s="273"/>
      <c r="I63" s="274"/>
    </row>
    <row r="64" spans="1:9" s="168" customFormat="1" ht="25.5" x14ac:dyDescent="0.25">
      <c r="A64" s="221"/>
      <c r="B64" s="166" t="s">
        <v>334</v>
      </c>
      <c r="C64" s="167" t="s">
        <v>278</v>
      </c>
      <c r="D64" s="280" t="s">
        <v>277</v>
      </c>
      <c r="E64" s="280"/>
      <c r="F64" s="280" t="s">
        <v>276</v>
      </c>
      <c r="G64" s="280"/>
      <c r="H64" s="280" t="s">
        <v>275</v>
      </c>
      <c r="I64" s="281"/>
    </row>
    <row r="65" spans="1:9" x14ac:dyDescent="0.25">
      <c r="A65" s="221"/>
      <c r="B65" s="102" t="s">
        <v>386</v>
      </c>
      <c r="C65" s="110"/>
      <c r="D65" s="302" t="s">
        <v>387</v>
      </c>
      <c r="E65" s="302"/>
      <c r="F65" s="300" t="s">
        <v>388</v>
      </c>
      <c r="G65" s="300"/>
      <c r="H65" s="298"/>
      <c r="I65" s="297"/>
    </row>
    <row r="66" spans="1:9" x14ac:dyDescent="0.25">
      <c r="A66" s="221"/>
      <c r="B66" s="102"/>
      <c r="C66" s="110"/>
      <c r="D66" s="302"/>
      <c r="E66" s="302"/>
      <c r="F66" s="300"/>
      <c r="G66" s="300"/>
      <c r="H66" s="296"/>
      <c r="I66" s="297"/>
    </row>
    <row r="67" spans="1:9" ht="15.75" thickBot="1" x14ac:dyDescent="0.3">
      <c r="A67" s="221"/>
      <c r="B67" s="101"/>
      <c r="C67" s="111"/>
      <c r="D67" s="301"/>
      <c r="E67" s="301"/>
      <c r="F67" s="299"/>
      <c r="G67" s="299"/>
      <c r="H67" s="294"/>
      <c r="I67" s="295"/>
    </row>
    <row r="68" spans="1:9" ht="6.75" customHeight="1" thickBot="1" x14ac:dyDescent="0.3">
      <c r="A68" s="221"/>
      <c r="B68" s="134"/>
      <c r="C68" s="135"/>
      <c r="D68" s="136"/>
      <c r="E68" s="136"/>
      <c r="F68" s="137"/>
      <c r="G68" s="137"/>
      <c r="H68" s="138"/>
      <c r="I68" s="138"/>
    </row>
    <row r="69" spans="1:9" ht="15.75" thickBot="1" x14ac:dyDescent="0.3">
      <c r="A69" s="221"/>
      <c r="B69" s="323" t="s">
        <v>360</v>
      </c>
      <c r="C69" s="324"/>
      <c r="D69" s="324"/>
      <c r="E69" s="324"/>
      <c r="F69" s="324"/>
      <c r="G69" s="324"/>
      <c r="H69" s="324"/>
      <c r="I69" s="325"/>
    </row>
    <row r="70" spans="1:9" ht="58.5" customHeight="1" x14ac:dyDescent="0.25">
      <c r="A70" s="221"/>
      <c r="B70" s="326"/>
      <c r="C70" s="327"/>
      <c r="D70" s="327"/>
      <c r="E70" s="327"/>
      <c r="F70" s="327"/>
      <c r="G70" s="327"/>
      <c r="H70" s="327"/>
      <c r="I70" s="328"/>
    </row>
    <row r="71" spans="1:9" ht="58.5" customHeight="1" thickBot="1" x14ac:dyDescent="0.3">
      <c r="A71" s="221"/>
      <c r="B71" s="329"/>
      <c r="C71" s="330"/>
      <c r="D71" s="330"/>
      <c r="E71" s="330"/>
      <c r="F71" s="330"/>
      <c r="G71" s="330"/>
      <c r="H71" s="330"/>
      <c r="I71" s="331"/>
    </row>
    <row r="72" spans="1:9" ht="6.75" customHeight="1" thickBot="1" x14ac:dyDescent="0.3">
      <c r="A72" s="221"/>
    </row>
    <row r="73" spans="1:9" ht="15.75" thickBot="1" x14ac:dyDescent="0.3">
      <c r="A73" s="221"/>
      <c r="B73" s="323" t="s">
        <v>274</v>
      </c>
      <c r="C73" s="324"/>
      <c r="D73" s="307" t="s">
        <v>273</v>
      </c>
      <c r="E73" s="303"/>
      <c r="F73" s="303"/>
      <c r="G73" s="304"/>
      <c r="H73" s="303" t="s">
        <v>303</v>
      </c>
      <c r="I73" s="304"/>
    </row>
    <row r="74" spans="1:9" x14ac:dyDescent="0.25">
      <c r="A74" s="221"/>
      <c r="B74" s="308"/>
      <c r="C74" s="309"/>
      <c r="D74" s="308"/>
      <c r="E74" s="309"/>
      <c r="F74" s="309"/>
      <c r="G74" s="310"/>
      <c r="H74" s="317"/>
      <c r="I74" s="318"/>
    </row>
    <row r="75" spans="1:9" x14ac:dyDescent="0.25">
      <c r="A75" s="221"/>
      <c r="B75" s="311"/>
      <c r="C75" s="312"/>
      <c r="D75" s="311"/>
      <c r="E75" s="312"/>
      <c r="F75" s="312"/>
      <c r="G75" s="313"/>
      <c r="H75" s="319"/>
      <c r="I75" s="320"/>
    </row>
    <row r="76" spans="1:9" ht="15.75" thickBot="1" x14ac:dyDescent="0.3">
      <c r="A76" s="221"/>
      <c r="B76" s="314"/>
      <c r="C76" s="315"/>
      <c r="D76" s="311"/>
      <c r="E76" s="312"/>
      <c r="F76" s="312"/>
      <c r="G76" s="313"/>
      <c r="H76" s="319"/>
      <c r="I76" s="320"/>
    </row>
    <row r="77" spans="1:9" x14ac:dyDescent="0.25">
      <c r="A77" s="221"/>
      <c r="B77" s="332" t="s">
        <v>272</v>
      </c>
      <c r="C77" s="305"/>
      <c r="D77" s="311"/>
      <c r="E77" s="312"/>
      <c r="F77" s="312"/>
      <c r="G77" s="313"/>
      <c r="H77" s="319"/>
      <c r="I77" s="320"/>
    </row>
    <row r="78" spans="1:9" ht="15.75" thickBot="1" x14ac:dyDescent="0.3">
      <c r="A78" s="221"/>
      <c r="B78" s="333"/>
      <c r="C78" s="306"/>
      <c r="D78" s="314"/>
      <c r="E78" s="315"/>
      <c r="F78" s="315"/>
      <c r="G78" s="316"/>
      <c r="H78" s="321"/>
      <c r="I78" s="322"/>
    </row>
    <row r="79" spans="1:9" x14ac:dyDescent="0.25"/>
  </sheetData>
  <sheetProtection sheet="1" selectLockedCells="1"/>
  <mergeCells count="138">
    <mergeCell ref="B56:D56"/>
    <mergeCell ref="F56:H56"/>
    <mergeCell ref="F57:F61"/>
    <mergeCell ref="C57:D57"/>
    <mergeCell ref="C58:D58"/>
    <mergeCell ref="C59:D59"/>
    <mergeCell ref="C60:D60"/>
    <mergeCell ref="G60:H60"/>
    <mergeCell ref="G59:H59"/>
    <mergeCell ref="G58:H58"/>
    <mergeCell ref="G57:H57"/>
    <mergeCell ref="G61:H61"/>
    <mergeCell ref="C44:C45"/>
    <mergeCell ref="D44:E45"/>
    <mergeCell ref="F44:F45"/>
    <mergeCell ref="G44:G45"/>
    <mergeCell ref="H44:I44"/>
    <mergeCell ref="H45:I45"/>
    <mergeCell ref="E17:G17"/>
    <mergeCell ref="H17:I17"/>
    <mergeCell ref="H33:I33"/>
    <mergeCell ref="E26:G26"/>
    <mergeCell ref="E27:G27"/>
    <mergeCell ref="E33:G33"/>
    <mergeCell ref="E32:G32"/>
    <mergeCell ref="E31:G31"/>
    <mergeCell ref="H26:I26"/>
    <mergeCell ref="H27:I27"/>
    <mergeCell ref="E28:G28"/>
    <mergeCell ref="H28:I28"/>
    <mergeCell ref="E30:G30"/>
    <mergeCell ref="H30:I30"/>
    <mergeCell ref="E29:G29"/>
    <mergeCell ref="H29:I29"/>
    <mergeCell ref="C20:D20"/>
    <mergeCell ref="C18:D18"/>
    <mergeCell ref="D6:E6"/>
    <mergeCell ref="H6:I6"/>
    <mergeCell ref="B9:C9"/>
    <mergeCell ref="D9:I9"/>
    <mergeCell ref="C16:D16"/>
    <mergeCell ref="E16:I16"/>
    <mergeCell ref="G19:H19"/>
    <mergeCell ref="G20:H20"/>
    <mergeCell ref="C36:C37"/>
    <mergeCell ref="D36:E37"/>
    <mergeCell ref="F36:F37"/>
    <mergeCell ref="G36:G37"/>
    <mergeCell ref="B23:B24"/>
    <mergeCell ref="H23:I23"/>
    <mergeCell ref="H24:I24"/>
    <mergeCell ref="B22:D22"/>
    <mergeCell ref="H22:I22"/>
    <mergeCell ref="C21:D21"/>
    <mergeCell ref="E21:I21"/>
    <mergeCell ref="C19:D19"/>
    <mergeCell ref="B15:D15"/>
    <mergeCell ref="D35:E35"/>
    <mergeCell ref="H31:I31"/>
    <mergeCell ref="H32:I32"/>
    <mergeCell ref="H73:I73"/>
    <mergeCell ref="C77:C78"/>
    <mergeCell ref="D73:G73"/>
    <mergeCell ref="D74:G78"/>
    <mergeCell ref="H74:I78"/>
    <mergeCell ref="B69:I69"/>
    <mergeCell ref="B70:I71"/>
    <mergeCell ref="B73:C73"/>
    <mergeCell ref="B74:C76"/>
    <mergeCell ref="B77:B78"/>
    <mergeCell ref="H67:I67"/>
    <mergeCell ref="H66:I66"/>
    <mergeCell ref="H65:I65"/>
    <mergeCell ref="F67:G67"/>
    <mergeCell ref="F66:G66"/>
    <mergeCell ref="F65:G65"/>
    <mergeCell ref="D67:E67"/>
    <mergeCell ref="D66:E66"/>
    <mergeCell ref="D65:E65"/>
    <mergeCell ref="B41:B45"/>
    <mergeCell ref="D41:E41"/>
    <mergeCell ref="B63:I63"/>
    <mergeCell ref="B54:D54"/>
    <mergeCell ref="E54:F54"/>
    <mergeCell ref="D64:E64"/>
    <mergeCell ref="F64:G64"/>
    <mergeCell ref="H64:I64"/>
    <mergeCell ref="G41:I41"/>
    <mergeCell ref="C42:C43"/>
    <mergeCell ref="D42:E43"/>
    <mergeCell ref="F42:F43"/>
    <mergeCell ref="G42:G43"/>
    <mergeCell ref="H42:I42"/>
    <mergeCell ref="C52:E52"/>
    <mergeCell ref="G49:I49"/>
    <mergeCell ref="G50:I50"/>
    <mergeCell ref="G51:I51"/>
    <mergeCell ref="G52:I52"/>
    <mergeCell ref="C49:E49"/>
    <mergeCell ref="C50:E50"/>
    <mergeCell ref="C51:E51"/>
    <mergeCell ref="B47:I47"/>
    <mergeCell ref="H43:I43"/>
    <mergeCell ref="A63:A78"/>
    <mergeCell ref="E15:I15"/>
    <mergeCell ref="B4:C4"/>
    <mergeCell ref="D4:I4"/>
    <mergeCell ref="B8:C8"/>
    <mergeCell ref="D8:I8"/>
    <mergeCell ref="D1:H1"/>
    <mergeCell ref="D2:H2"/>
    <mergeCell ref="B6:C6"/>
    <mergeCell ref="F6:G6"/>
    <mergeCell ref="B25:I25"/>
    <mergeCell ref="C48:E48"/>
    <mergeCell ref="G35:I35"/>
    <mergeCell ref="G38:G39"/>
    <mergeCell ref="H39:I39"/>
    <mergeCell ref="D38:E39"/>
    <mergeCell ref="C38:C39"/>
    <mergeCell ref="F38:F39"/>
    <mergeCell ref="H36:I36"/>
    <mergeCell ref="H37:I37"/>
    <mergeCell ref="B35:B39"/>
    <mergeCell ref="H38:I38"/>
    <mergeCell ref="B57:B61"/>
    <mergeCell ref="B17:D17"/>
    <mergeCell ref="E18:I18"/>
    <mergeCell ref="B10:C11"/>
    <mergeCell ref="B12:C13"/>
    <mergeCell ref="D12:D13"/>
    <mergeCell ref="D10:D11"/>
    <mergeCell ref="E10:E11"/>
    <mergeCell ref="G12:G13"/>
    <mergeCell ref="G10:G11"/>
    <mergeCell ref="F10:F11"/>
    <mergeCell ref="F12:F13"/>
    <mergeCell ref="E12:E13"/>
  </mergeCells>
  <conditionalFormatting sqref="E15:I15">
    <cfRule type="cellIs" dxfId="96" priority="73" operator="equal">
      <formula>"CHOIX DU TYPE DE MISSION (CHOIX A FAIRE EN CLIQUANT ICI)"</formula>
    </cfRule>
  </conditionalFormatting>
  <conditionalFormatting sqref="H23:H24">
    <cfRule type="containsText" dxfId="95" priority="71" operator="containsText" text="KO">
      <formula>NOT(ISERROR(SEARCH("KO",H23)))</formula>
    </cfRule>
    <cfRule type="containsText" dxfId="94" priority="72" operator="containsText" text="OK">
      <formula>NOT(ISERROR(SEARCH("OK",H23)))</formula>
    </cfRule>
  </conditionalFormatting>
  <conditionalFormatting sqref="B70">
    <cfRule type="cellIs" dxfId="93" priority="38" operator="equal">
      <formula>"Demande d'avance : "</formula>
    </cfRule>
  </conditionalFormatting>
  <conditionalFormatting sqref="H74">
    <cfRule type="cellIs" dxfId="92" priority="37" operator="equal">
      <formula>"Vous ne pouvez pas signer le type de mission n'a pas été choisi"</formula>
    </cfRule>
  </conditionalFormatting>
  <conditionalFormatting sqref="E54">
    <cfRule type="cellIs" dxfId="91" priority="36" operator="equal">
      <formula>"oui"</formula>
    </cfRule>
  </conditionalFormatting>
  <conditionalFormatting sqref="B54">
    <cfRule type="cellIs" dxfId="90" priority="35" operator="equal">
      <formula>"Demande d'avance : "</formula>
    </cfRule>
  </conditionalFormatting>
  <conditionalFormatting sqref="B35:B39 F35:I39 C36:E39 B22:I27 B62:I64 B47:I55 B31:I34 C61:E61 G61 C57:C60 B56 B66:I67 H65:I65">
    <cfRule type="expression" dxfId="89" priority="34">
      <formula>"$E$17=""MISSION SANS FRAIS"""</formula>
    </cfRule>
  </conditionalFormatting>
  <conditionalFormatting sqref="B19:I19 B20:C20 E20:I20">
    <cfRule type="expression" dxfId="88" priority="28">
      <formula>$E$15="OM PERMANENT"</formula>
    </cfRule>
  </conditionalFormatting>
  <conditionalFormatting sqref="B41:B45 C42:E45 F41:I45">
    <cfRule type="expression" dxfId="87" priority="25">
      <formula>"$E$17=""MISSION SANS FRAIS"""</formula>
    </cfRule>
  </conditionalFormatting>
  <conditionalFormatting sqref="B28:I28 B30:I30">
    <cfRule type="expression" dxfId="86" priority="19">
      <formula>"$E$17=""MISSION SANS FRAIS"""</formula>
    </cfRule>
  </conditionalFormatting>
  <conditionalFormatting sqref="B29:I29">
    <cfRule type="expression" dxfId="85" priority="18">
      <formula>"$E$17=""MISSION SANS FRAIS"""</formula>
    </cfRule>
  </conditionalFormatting>
  <conditionalFormatting sqref="I19:J19">
    <cfRule type="expression" dxfId="84" priority="20">
      <formula>$E$21="CHOIX A FAIRE EN CLIQUANT ICI"</formula>
    </cfRule>
    <cfRule type="expression" dxfId="83" priority="21">
      <formula>$E$21="MISSION FRANCE"</formula>
    </cfRule>
  </conditionalFormatting>
  <conditionalFormatting sqref="B19:I19 B20:C20 E20:I20">
    <cfRule type="expression" dxfId="82" priority="30">
      <formula>$E$15="CHOIX A FAIRE EN CLIQUANT ICI"</formula>
    </cfRule>
  </conditionalFormatting>
  <conditionalFormatting sqref="B19:I19 B20:C20 E20:I20">
    <cfRule type="expression" dxfId="81" priority="31">
      <formula>$E$15="MISSION FRANCE"</formula>
    </cfRule>
  </conditionalFormatting>
  <conditionalFormatting sqref="B19:I19 B20:C20 E20:I20">
    <cfRule type="expression" dxfId="80" priority="29">
      <formula>$E$15="MISSION SANS FRAIS"</formula>
    </cfRule>
  </conditionalFormatting>
  <conditionalFormatting sqref="B20">
    <cfRule type="expression" dxfId="79" priority="17">
      <formula>$E$15="MISSION SUR OM PERMANENT"</formula>
    </cfRule>
  </conditionalFormatting>
  <conditionalFormatting sqref="C20:D20">
    <cfRule type="expression" dxfId="78" priority="16">
      <formula>$E$15="MISSION SUR OM PERMANENT"</formula>
    </cfRule>
  </conditionalFormatting>
  <conditionalFormatting sqref="B19:I19 G20:I20">
    <cfRule type="expression" dxfId="77" priority="15">
      <formula>$E$15="MISSION SUR OM PERMANENT"</formula>
    </cfRule>
  </conditionalFormatting>
  <conditionalFormatting sqref="E17 H17">
    <cfRule type="cellIs" dxfId="76" priority="14" operator="equal">
      <formula>"CHOIX DU TYPE DE MISSION (CHOIX A FAIRE EN CLIQUANT ICI)"</formula>
    </cfRule>
  </conditionalFormatting>
  <conditionalFormatting sqref="E56:E60">
    <cfRule type="expression" dxfId="75" priority="13">
      <formula>"$E$17=""MISSION SANS FRAIS"""</formula>
    </cfRule>
  </conditionalFormatting>
  <conditionalFormatting sqref="F57">
    <cfRule type="expression" dxfId="74" priority="10">
      <formula>"$E$17=""MISSION SANS FRAIS"""</formula>
    </cfRule>
  </conditionalFormatting>
  <conditionalFormatting sqref="G57 G59:G61">
    <cfRule type="expression" dxfId="73" priority="9">
      <formula>"$E$17=""MISSION SANS FRAIS"""</formula>
    </cfRule>
  </conditionalFormatting>
  <conditionalFormatting sqref="G58">
    <cfRule type="expression" dxfId="72" priority="8">
      <formula>"$E$17=""MISSION SANS FRAIS"""</formula>
    </cfRule>
  </conditionalFormatting>
  <conditionalFormatting sqref="G57">
    <cfRule type="expression" dxfId="71" priority="7">
      <formula>"$E$17=""MISSION SANS FRAIS"""</formula>
    </cfRule>
  </conditionalFormatting>
  <conditionalFormatting sqref="G59">
    <cfRule type="expression" dxfId="70" priority="6">
      <formula>"$E$17=""MISSION SANS FRAIS"""</formula>
    </cfRule>
  </conditionalFormatting>
  <conditionalFormatting sqref="G58">
    <cfRule type="expression" dxfId="69" priority="5">
      <formula>"$E$17=""MISSION SANS FRAIS"""</formula>
    </cfRule>
  </conditionalFormatting>
  <conditionalFormatting sqref="I56:I60">
    <cfRule type="expression" dxfId="68" priority="3">
      <formula>"$E$17=""MISSION SANS FRAIS"""</formula>
    </cfRule>
  </conditionalFormatting>
  <conditionalFormatting sqref="F56">
    <cfRule type="expression" dxfId="67" priority="4">
      <formula>"$E$17=""MISSION SANS FRAIS"""</formula>
    </cfRule>
  </conditionalFormatting>
  <conditionalFormatting sqref="I61">
    <cfRule type="expression" dxfId="66" priority="2">
      <formula>"$E$17=""MISSION SANS FRAIS"""</formula>
    </cfRule>
  </conditionalFormatting>
  <conditionalFormatting sqref="B65:G65">
    <cfRule type="expression" dxfId="65" priority="1">
      <formula>"$E$17=""MISSION SANS FRAIS"""</formula>
    </cfRule>
  </conditionalFormatting>
  <dataValidations count="14">
    <dataValidation type="list" allowBlank="1" showInputMessage="1" showErrorMessage="1" sqref="E15:I15">
      <formula1>"CHOIX A FAIRE EN CLIQUANT ICI,MISSION FRANCE,MISSION ETRANGER,MISSION SANS FRAIS,OM PERMANENT,MISSION SUR OM PERMANENT"</formula1>
    </dataValidation>
    <dataValidation type="list" allowBlank="1" showInputMessage="1" showErrorMessage="1" sqref="H11 H13">
      <formula1>"RESIDENCE FAMILIALE,RESIDENCE ADMINISTRATIVE,AUTRE RESIDENCE"</formula1>
    </dataValidation>
    <dataValidation type="list" allowBlank="1" showInputMessage="1" showErrorMessage="1" sqref="E23">
      <formula1>"1ère Classe,2nde Classe"</formula1>
    </dataValidation>
    <dataValidation type="list" allowBlank="1" showInputMessage="1" showErrorMessage="1" sqref="E24">
      <formula1>"Economique,Affaire"</formula1>
    </dataValidation>
    <dataValidation allowBlank="1" showInputMessage="1" showErrorMessage="1" promptTitle="Nombre Prévisionnel" prompt="Frais nécissitant une demande de dérogation._x000a__x000a_Un justificatif devra être fourni au retour de mission." sqref="E59 I59"/>
    <dataValidation allowBlank="1" showInputMessage="1" showErrorMessage="1" promptTitle="Quotité" prompt="La mission est elle prise à 100% sur un seul Centre Financier ? Sur un seul eOTP ? une seule ligne budgétaire ?" sqref="C65:C68"/>
    <dataValidation type="list" allowBlank="1" showInputMessage="1" showErrorMessage="1" sqref="E54:F54 F23:F24">
      <formula1>"OUI,NON"</formula1>
    </dataValidation>
    <dataValidation allowBlank="1" showInputMessage="1" showErrorMessage="1" promptTitle="Centre Financier" prompt=" " sqref="D4:I4"/>
    <dataValidation allowBlank="1" showInputMessage="1" showErrorMessage="1" promptTitle="Horaire" prompt="Heure déclarative de départ de la résidence de départ" sqref="F12"/>
    <dataValidation allowBlank="1" showInputMessage="1" showErrorMessage="1" promptTitle="Trajet" prompt="Dates &amp; Horaires d'avion/train à réserver_x000a__x000a_Bien penser à indiquer les gares/aéroport de départ et arrivées dans la case &quot;Trajet&quot;" sqref="B27:G33"/>
    <dataValidation allowBlank="1" showInputMessage="1" showErrorMessage="1" promptTitle="Nombre Prévisionnel" prompt=" " sqref="E60 E57:E58 I60:I61 I57:I58"/>
    <dataValidation allowBlank="1" showInputMessage="1" showErrorMessage="1" promptTitle="Taux de Change" prompt="Champ facultatif au moment de la demande de mission sauf en cas de demande d'avance sur frais de mission_x000a__x000a_Indiquer ici le taux de change du Minefi à la date de la mission" sqref="I19"/>
    <dataValidation type="list" allowBlank="1" showInputMessage="1" showErrorMessage="1" prompt="Mission Forfait : Toutes les IJ sont aux forfaits définis par le décret_x000a_-_x000a_Mission Frais Réel Mixte : une partie des IJ sont aux forfaits définis par le décret_x000a_-_x000a_Mission Frais Réel 100% : aucune des IJ ne correspondent aux forfaits définis par le décret" sqref="E17">
      <formula1>"CHOIX A FAIRE EN CLIQUANT ICI,MISSION FORFAIT,MISSION FRAIS REEL (MIXTE),MISSION FRAIS REEL 100%"</formula1>
    </dataValidation>
    <dataValidation type="list" allowBlank="1" showInputMessage="1" showErrorMessage="1" sqref="C19:D19">
      <formula1>LISTE_PAYS</formula1>
    </dataValidation>
  </dataValidations>
  <printOptions horizontalCentered="1" verticalCentered="1"/>
  <pageMargins left="0" right="0" top="0" bottom="0" header="0.31496062992125984" footer="0.31496062992125984"/>
  <pageSetup paperSize="6" scale="45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Check Box 3">
              <controlPr defaultSize="0" autoFill="0" autoLine="0" autoPict="0">
                <anchor moveWithCells="1">
                  <from>
                    <xdr:col>2</xdr:col>
                    <xdr:colOff>257175</xdr:colOff>
                    <xdr:row>21</xdr:row>
                    <xdr:rowOff>314325</xdr:rowOff>
                  </from>
                  <to>
                    <xdr:col>2</xdr:col>
                    <xdr:colOff>685800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Check Box 4">
              <controlPr defaultSize="0" autoFill="0" autoLine="0" autoPict="0">
                <anchor moveWithCells="1">
                  <from>
                    <xdr:col>2</xdr:col>
                    <xdr:colOff>257175</xdr:colOff>
                    <xdr:row>22</xdr:row>
                    <xdr:rowOff>171450</xdr:rowOff>
                  </from>
                  <to>
                    <xdr:col>2</xdr:col>
                    <xdr:colOff>685800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Check Box 5">
              <controlPr defaultSize="0" autoFill="0" autoLine="0" autoPict="0">
                <anchor moveWithCells="1">
                  <from>
                    <xdr:col>2</xdr:col>
                    <xdr:colOff>257175</xdr:colOff>
                    <xdr:row>34</xdr:row>
                    <xdr:rowOff>0</xdr:rowOff>
                  </from>
                  <to>
                    <xdr:col>2</xdr:col>
                    <xdr:colOff>685800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Check Box 6">
              <controlPr defaultSize="0" autoFill="0" autoLine="0" autoPict="0">
                <anchor moveWithCells="1">
                  <from>
                    <xdr:col>2</xdr:col>
                    <xdr:colOff>257175</xdr:colOff>
                    <xdr:row>37</xdr:row>
                    <xdr:rowOff>133350</xdr:rowOff>
                  </from>
                  <to>
                    <xdr:col>2</xdr:col>
                    <xdr:colOff>685800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Check Box 7">
              <controlPr defaultSize="0" autoFill="0" autoLine="0" autoPict="0">
                <anchor moveWithCells="1">
                  <from>
                    <xdr:col>5</xdr:col>
                    <xdr:colOff>257175</xdr:colOff>
                    <xdr:row>34</xdr:row>
                    <xdr:rowOff>28575</xdr:rowOff>
                  </from>
                  <to>
                    <xdr:col>5</xdr:col>
                    <xdr:colOff>685800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9" name="Check Box 9">
              <controlPr defaultSize="0" autoFill="0" autoLine="0" autoPict="0">
                <anchor moveWithCells="1">
                  <from>
                    <xdr:col>5</xdr:col>
                    <xdr:colOff>257175</xdr:colOff>
                    <xdr:row>37</xdr:row>
                    <xdr:rowOff>133350</xdr:rowOff>
                  </from>
                  <to>
                    <xdr:col>5</xdr:col>
                    <xdr:colOff>685800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0" name="Check Box 12">
              <controlPr defaultSize="0" autoFill="0" autoLine="0" autoPict="0">
                <anchor moveWithCells="1">
                  <from>
                    <xdr:col>2</xdr:col>
                    <xdr:colOff>257175</xdr:colOff>
                    <xdr:row>35</xdr:row>
                    <xdr:rowOff>133350</xdr:rowOff>
                  </from>
                  <to>
                    <xdr:col>2</xdr:col>
                    <xdr:colOff>685800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1" name="Check Box 13">
              <controlPr defaultSize="0" autoFill="0" autoLine="0" autoPict="0">
                <anchor moveWithCells="1">
                  <from>
                    <xdr:col>5</xdr:col>
                    <xdr:colOff>257175</xdr:colOff>
                    <xdr:row>35</xdr:row>
                    <xdr:rowOff>133350</xdr:rowOff>
                  </from>
                  <to>
                    <xdr:col>5</xdr:col>
                    <xdr:colOff>685800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12" name="Check Box 36">
              <controlPr defaultSize="0" autoFill="0" autoLine="0" autoPict="0">
                <anchor moveWithCells="1">
                  <from>
                    <xdr:col>1</xdr:col>
                    <xdr:colOff>257175</xdr:colOff>
                    <xdr:row>48</xdr:row>
                    <xdr:rowOff>76200</xdr:rowOff>
                  </from>
                  <to>
                    <xdr:col>1</xdr:col>
                    <xdr:colOff>685800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13" name="Check Box 37">
              <controlPr defaultSize="0" autoFill="0" autoLine="0" autoPict="0">
                <anchor moveWithCells="1">
                  <from>
                    <xdr:col>1</xdr:col>
                    <xdr:colOff>257175</xdr:colOff>
                    <xdr:row>49</xdr:row>
                    <xdr:rowOff>66675</xdr:rowOff>
                  </from>
                  <to>
                    <xdr:col>1</xdr:col>
                    <xdr:colOff>685800</xdr:colOff>
                    <xdr:row>49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14" name="Check Box 38">
              <controlPr defaultSize="0" autoFill="0" autoLine="0" autoPict="0">
                <anchor moveWithCells="1">
                  <from>
                    <xdr:col>1</xdr:col>
                    <xdr:colOff>257175</xdr:colOff>
                    <xdr:row>50</xdr:row>
                    <xdr:rowOff>76200</xdr:rowOff>
                  </from>
                  <to>
                    <xdr:col>1</xdr:col>
                    <xdr:colOff>685800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15" name="Check Box 39">
              <controlPr defaultSize="0" autoFill="0" autoLine="0" autoPict="0">
                <anchor moveWithCells="1">
                  <from>
                    <xdr:col>1</xdr:col>
                    <xdr:colOff>257175</xdr:colOff>
                    <xdr:row>51</xdr:row>
                    <xdr:rowOff>47625</xdr:rowOff>
                  </from>
                  <to>
                    <xdr:col>1</xdr:col>
                    <xdr:colOff>685800</xdr:colOff>
                    <xdr:row>51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16" name="Check Box 40">
              <controlPr defaultSize="0" autoFill="0" autoLine="0" autoPict="0">
                <anchor moveWithCells="1">
                  <from>
                    <xdr:col>5</xdr:col>
                    <xdr:colOff>257175</xdr:colOff>
                    <xdr:row>48</xdr:row>
                    <xdr:rowOff>47625</xdr:rowOff>
                  </from>
                  <to>
                    <xdr:col>5</xdr:col>
                    <xdr:colOff>685800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1" r:id="rId17" name="Check Box 41">
              <controlPr defaultSize="0" autoFill="0" autoLine="0" autoPict="0">
                <anchor moveWithCells="1">
                  <from>
                    <xdr:col>5</xdr:col>
                    <xdr:colOff>257175</xdr:colOff>
                    <xdr:row>49</xdr:row>
                    <xdr:rowOff>47625</xdr:rowOff>
                  </from>
                  <to>
                    <xdr:col>5</xdr:col>
                    <xdr:colOff>685800</xdr:colOff>
                    <xdr:row>49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18" name="Check Box 42">
              <controlPr defaultSize="0" autoFill="0" autoLine="0" autoPict="0">
                <anchor moveWithCells="1">
                  <from>
                    <xdr:col>5</xdr:col>
                    <xdr:colOff>257175</xdr:colOff>
                    <xdr:row>50</xdr:row>
                    <xdr:rowOff>47625</xdr:rowOff>
                  </from>
                  <to>
                    <xdr:col>5</xdr:col>
                    <xdr:colOff>685800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19" name="Check Box 43">
              <controlPr defaultSize="0" autoFill="0" autoLine="0" autoPict="0">
                <anchor moveWithCells="1">
                  <from>
                    <xdr:col>5</xdr:col>
                    <xdr:colOff>257175</xdr:colOff>
                    <xdr:row>51</xdr:row>
                    <xdr:rowOff>47625</xdr:rowOff>
                  </from>
                  <to>
                    <xdr:col>5</xdr:col>
                    <xdr:colOff>685800</xdr:colOff>
                    <xdr:row>51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20" name="Check Box 46">
              <controlPr defaultSize="0" autoFill="0" autoLine="0" autoPict="0">
                <anchor moveWithCells="1">
                  <from>
                    <xdr:col>2</xdr:col>
                    <xdr:colOff>257175</xdr:colOff>
                    <xdr:row>40</xdr:row>
                    <xdr:rowOff>0</xdr:rowOff>
                  </from>
                  <to>
                    <xdr:col>2</xdr:col>
                    <xdr:colOff>685800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21" name="Check Box 47">
              <controlPr defaultSize="0" autoFill="0" autoLine="0" autoPict="0">
                <anchor moveWithCells="1">
                  <from>
                    <xdr:col>2</xdr:col>
                    <xdr:colOff>257175</xdr:colOff>
                    <xdr:row>43</xdr:row>
                    <xdr:rowOff>133350</xdr:rowOff>
                  </from>
                  <to>
                    <xdr:col>2</xdr:col>
                    <xdr:colOff>685800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22" name="Check Box 48">
              <controlPr defaultSize="0" autoFill="0" autoLine="0" autoPict="0">
                <anchor moveWithCells="1">
                  <from>
                    <xdr:col>5</xdr:col>
                    <xdr:colOff>257175</xdr:colOff>
                    <xdr:row>40</xdr:row>
                    <xdr:rowOff>28575</xdr:rowOff>
                  </from>
                  <to>
                    <xdr:col>5</xdr:col>
                    <xdr:colOff>685800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23" name="Check Box 49">
              <controlPr defaultSize="0" autoFill="0" autoLine="0" autoPict="0">
                <anchor moveWithCells="1">
                  <from>
                    <xdr:col>5</xdr:col>
                    <xdr:colOff>257175</xdr:colOff>
                    <xdr:row>43</xdr:row>
                    <xdr:rowOff>133350</xdr:rowOff>
                  </from>
                  <to>
                    <xdr:col>5</xdr:col>
                    <xdr:colOff>685800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24" name="Check Box 50">
              <controlPr defaultSize="0" autoFill="0" autoLine="0" autoPict="0">
                <anchor moveWithCells="1">
                  <from>
                    <xdr:col>2</xdr:col>
                    <xdr:colOff>257175</xdr:colOff>
                    <xdr:row>41</xdr:row>
                    <xdr:rowOff>133350</xdr:rowOff>
                  </from>
                  <to>
                    <xdr:col>2</xdr:col>
                    <xdr:colOff>685800</xdr:colOff>
                    <xdr:row>42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" r:id="rId25" name="Check Box 51">
              <controlPr defaultSize="0" autoFill="0" autoLine="0" autoPict="0">
                <anchor moveWithCells="1">
                  <from>
                    <xdr:col>5</xdr:col>
                    <xdr:colOff>257175</xdr:colOff>
                    <xdr:row>41</xdr:row>
                    <xdr:rowOff>133350</xdr:rowOff>
                  </from>
                  <to>
                    <xdr:col>5</xdr:col>
                    <xdr:colOff>685800</xdr:colOff>
                    <xdr:row>42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XFD78"/>
  <sheetViews>
    <sheetView showGridLines="0" showRowColHeaders="0" tabSelected="1" zoomScaleNormal="100" workbookViewId="0">
      <selection activeCell="D6" sqref="D6"/>
    </sheetView>
  </sheetViews>
  <sheetFormatPr baseColWidth="10" defaultColWidth="0" defaultRowHeight="15" zeroHeight="1" x14ac:dyDescent="0.25"/>
  <cols>
    <col min="1" max="1" width="1.5703125" style="7" customWidth="1"/>
    <col min="2" max="2" width="13.42578125" style="7" customWidth="1"/>
    <col min="3" max="3" width="15.140625" style="7" customWidth="1"/>
    <col min="4" max="4" width="19.42578125" style="7" customWidth="1"/>
    <col min="5" max="5" width="16.140625" style="7" customWidth="1"/>
    <col min="6" max="6" width="12.140625" style="7" bestFit="1" customWidth="1"/>
    <col min="7" max="7" width="17.28515625" style="7" customWidth="1"/>
    <col min="8" max="8" width="18.140625" style="7" customWidth="1"/>
    <col min="9" max="9" width="0.85546875" style="11" customWidth="1"/>
    <col min="10" max="10" width="1" style="7" customWidth="1"/>
    <col min="11" max="11" width="1" style="7" hidden="1" customWidth="1"/>
    <col min="12" max="12" width="2.28515625" style="7" hidden="1" customWidth="1"/>
    <col min="13" max="13" width="1.7109375" style="7" hidden="1" customWidth="1"/>
    <col min="14" max="14" width="11.42578125" style="7" hidden="1" customWidth="1"/>
    <col min="15" max="16384" width="0" style="7" hidden="1"/>
  </cols>
  <sheetData>
    <row r="1" spans="2:12 16382:16384" x14ac:dyDescent="0.25">
      <c r="B1" s="100" t="s">
        <v>271</v>
      </c>
      <c r="C1" s="34"/>
      <c r="D1" s="234" t="s">
        <v>308</v>
      </c>
      <c r="E1" s="234"/>
      <c r="F1" s="234"/>
      <c r="G1" s="234"/>
      <c r="H1" s="234"/>
      <c r="I1" s="42"/>
      <c r="J1" s="34"/>
      <c r="K1" s="34"/>
      <c r="XFC1" s="7" t="s">
        <v>47</v>
      </c>
      <c r="XFD1" s="7">
        <v>0</v>
      </c>
    </row>
    <row r="2" spans="2:12 16382:16384" x14ac:dyDescent="0.25">
      <c r="B2" s="34"/>
      <c r="C2" s="34"/>
      <c r="D2" s="234"/>
      <c r="E2" s="234"/>
      <c r="F2" s="234"/>
      <c r="G2" s="234"/>
      <c r="H2" s="234"/>
      <c r="I2" s="42"/>
      <c r="J2" s="34"/>
      <c r="K2" s="34"/>
      <c r="XFC2" s="7" t="s">
        <v>34</v>
      </c>
      <c r="XFD2" s="7">
        <v>1</v>
      </c>
    </row>
    <row r="3" spans="2:12 16382:16384" x14ac:dyDescent="0.25">
      <c r="B3" s="34"/>
      <c r="C3" s="34"/>
      <c r="D3" s="234"/>
      <c r="E3" s="234"/>
      <c r="F3" s="234"/>
      <c r="G3" s="234"/>
      <c r="H3" s="234"/>
      <c r="I3" s="42"/>
      <c r="J3" s="34"/>
      <c r="K3" s="34"/>
      <c r="XFC3" s="7" t="s">
        <v>35</v>
      </c>
      <c r="XFD3" s="7">
        <v>2</v>
      </c>
    </row>
    <row r="4" spans="2:12 16382:16384" x14ac:dyDescent="0.25">
      <c r="B4" s="34"/>
      <c r="C4" s="34"/>
      <c r="D4" s="235" t="str">
        <f>'DEMANDE DE MISSION'!D2:H2</f>
        <v>(Formulaire à saisir informatiquement sur 2 onglets)</v>
      </c>
      <c r="E4" s="235"/>
      <c r="F4" s="235"/>
      <c r="G4" s="235"/>
      <c r="H4" s="235"/>
      <c r="I4" s="42"/>
      <c r="J4" s="34"/>
      <c r="K4" s="34"/>
      <c r="XFD4" s="7">
        <v>3</v>
      </c>
    </row>
    <row r="5" spans="2:12 16382:16384" ht="6" customHeight="1" thickBot="1" x14ac:dyDescent="0.3">
      <c r="B5" s="43"/>
      <c r="C5" s="34"/>
      <c r="D5" s="34"/>
      <c r="E5" s="34"/>
      <c r="F5" s="34"/>
      <c r="G5" s="34"/>
      <c r="H5" s="34"/>
      <c r="I5" s="42"/>
      <c r="J5" s="34"/>
      <c r="K5" s="34"/>
      <c r="XFB5" s="124" t="s">
        <v>51</v>
      </c>
      <c r="XFC5" s="125">
        <v>0.32</v>
      </c>
      <c r="XFD5" s="7">
        <v>4</v>
      </c>
    </row>
    <row r="6" spans="2:12 16382:16384" ht="15.75" customHeight="1" thickBot="1" x14ac:dyDescent="0.3">
      <c r="B6" s="225" t="s">
        <v>16</v>
      </c>
      <c r="C6" s="226"/>
      <c r="D6" s="196"/>
      <c r="E6" s="170"/>
      <c r="F6" s="410" t="s">
        <v>354</v>
      </c>
      <c r="G6" s="411"/>
      <c r="H6" s="197" t="str">
        <f>IF(SCHEMA_MISSION="CHOIX A FAIRE EN CLIQUANT ICI","",IF(RIGHT(SCHEMA_MISSION,7)="Forfait","Forfaitaire","Frais Réels"))</f>
        <v/>
      </c>
      <c r="I6" s="202"/>
      <c r="J6" s="34"/>
      <c r="K6" s="34"/>
      <c r="L6" s="400" t="s">
        <v>43</v>
      </c>
      <c r="XFB6" s="124" t="s">
        <v>52</v>
      </c>
      <c r="XFC6" s="125">
        <v>0.41</v>
      </c>
      <c r="XFD6" s="7">
        <v>5</v>
      </c>
    </row>
    <row r="7" spans="2:12 16382:16384" ht="6.75" hidden="1" customHeight="1" x14ac:dyDescent="0.25">
      <c r="B7" s="12"/>
      <c r="C7" s="12"/>
      <c r="D7" s="13"/>
      <c r="E7" s="13"/>
      <c r="F7" s="13"/>
      <c r="G7" s="13"/>
      <c r="H7" s="13"/>
      <c r="I7" s="42"/>
      <c r="J7" s="34"/>
      <c r="K7" s="34"/>
      <c r="L7" s="401"/>
      <c r="XFB7" s="124" t="s">
        <v>53</v>
      </c>
      <c r="XFC7" s="125">
        <v>0.41</v>
      </c>
      <c r="XFD7" s="7">
        <v>6</v>
      </c>
    </row>
    <row r="8" spans="2:12 16382:16384" ht="9" customHeight="1" thickBot="1" x14ac:dyDescent="0.3">
      <c r="B8" s="44"/>
      <c r="C8" s="34"/>
      <c r="D8" s="34"/>
      <c r="E8" s="34"/>
      <c r="F8" s="34"/>
      <c r="G8" s="34"/>
      <c r="H8" s="34"/>
      <c r="I8" s="42"/>
      <c r="J8" s="34"/>
      <c r="K8" s="34"/>
      <c r="L8" s="401"/>
      <c r="XFB8" s="139" t="s">
        <v>54</v>
      </c>
      <c r="XFC8" s="140">
        <v>0.45</v>
      </c>
      <c r="XFD8" s="7">
        <v>7</v>
      </c>
    </row>
    <row r="9" spans="2:12 16382:16384" ht="15.75" thickBot="1" x14ac:dyDescent="0.3">
      <c r="B9" s="236" t="s">
        <v>0</v>
      </c>
      <c r="C9" s="237"/>
      <c r="D9" s="143" t="str">
        <f>IF(NOM_AGENT="","",NOM_AGENT)</f>
        <v/>
      </c>
      <c r="E9" s="238" t="s">
        <v>1</v>
      </c>
      <c r="F9" s="226"/>
      <c r="G9" s="402" t="str">
        <f>IF(PRENOM_AGENT="","",PRENOM_AGENT)</f>
        <v/>
      </c>
      <c r="H9" s="391"/>
      <c r="I9" s="392"/>
      <c r="J9" s="34"/>
      <c r="K9" s="34"/>
      <c r="L9" s="401"/>
      <c r="XFD9" s="7">
        <v>8</v>
      </c>
    </row>
    <row r="10" spans="2:12 16382:16384" ht="9" customHeight="1" thickBot="1" x14ac:dyDescent="0.3">
      <c r="B10" s="44"/>
      <c r="C10" s="34"/>
      <c r="D10" s="34"/>
      <c r="E10" s="34"/>
      <c r="F10" s="34"/>
      <c r="G10" s="34"/>
      <c r="H10" s="34"/>
      <c r="I10" s="42"/>
      <c r="J10" s="34"/>
      <c r="K10" s="34"/>
      <c r="L10" s="401"/>
      <c r="XFD10" s="7">
        <v>7</v>
      </c>
    </row>
    <row r="11" spans="2:12 16382:16384" ht="15.75" thickBot="1" x14ac:dyDescent="0.3">
      <c r="B11" s="225" t="s">
        <v>333</v>
      </c>
      <c r="C11" s="226"/>
      <c r="D11" s="407" t="str">
        <f>IF(CENTRE_FINANCIER="","",CENTRE_FINANCIER)</f>
        <v>990RE661</v>
      </c>
      <c r="E11" s="391"/>
      <c r="F11" s="391"/>
      <c r="G11" s="391"/>
      <c r="H11" s="391"/>
      <c r="I11" s="392"/>
      <c r="J11" s="34"/>
      <c r="K11" s="34"/>
      <c r="L11" s="401"/>
      <c r="XFD11" s="7">
        <v>9</v>
      </c>
    </row>
    <row r="12" spans="2:12 16382:16384" ht="9" customHeight="1" thickBot="1" x14ac:dyDescent="0.3">
      <c r="B12" s="44"/>
      <c r="C12" s="34"/>
      <c r="D12" s="34"/>
      <c r="E12" s="34"/>
      <c r="F12" s="34"/>
      <c r="G12" s="34"/>
      <c r="H12" s="34"/>
      <c r="I12" s="42"/>
      <c r="J12" s="34"/>
      <c r="K12" s="34"/>
      <c r="L12" s="401"/>
      <c r="XFD12" s="7">
        <v>7</v>
      </c>
    </row>
    <row r="13" spans="2:12 16382:16384" ht="15.75" thickBot="1" x14ac:dyDescent="0.3">
      <c r="B13" s="230" t="s">
        <v>15</v>
      </c>
      <c r="C13" s="231"/>
      <c r="D13" s="393" t="str">
        <f>IF(MOTIF_MISSION="","",MOTIF_MISSION)</f>
        <v/>
      </c>
      <c r="E13" s="393"/>
      <c r="F13" s="393"/>
      <c r="G13" s="393"/>
      <c r="H13" s="393"/>
      <c r="I13" s="394"/>
      <c r="J13" s="34"/>
      <c r="K13" s="34"/>
      <c r="L13" s="401"/>
      <c r="XFD13" s="7">
        <v>10</v>
      </c>
    </row>
    <row r="14" spans="2:12 16382:16384" ht="21.75" customHeight="1" thickBot="1" x14ac:dyDescent="0.3">
      <c r="B14" s="236" t="s">
        <v>13</v>
      </c>
      <c r="C14" s="237"/>
      <c r="D14" s="159" t="str">
        <f>IF(DATE_DEBUT="","",DATE_DEBUT)</f>
        <v/>
      </c>
      <c r="E14" s="171" t="s">
        <v>2</v>
      </c>
      <c r="F14" s="177" t="str">
        <f>IF(HEURE_DEPART="","",HEURE_DEPART)</f>
        <v/>
      </c>
      <c r="G14" s="408" t="s">
        <v>349</v>
      </c>
      <c r="H14" s="403" t="str">
        <f>IF(RESIDENCE_DEPART="","",RESIDENCE_DEPART)</f>
        <v/>
      </c>
      <c r="I14" s="404"/>
      <c r="J14" s="34"/>
      <c r="K14" s="34"/>
      <c r="L14" s="401"/>
      <c r="XFD14" s="7">
        <v>11</v>
      </c>
    </row>
    <row r="15" spans="2:12 16382:16384" ht="21.75" customHeight="1" thickBot="1" x14ac:dyDescent="0.3">
      <c r="B15" s="395" t="s">
        <v>14</v>
      </c>
      <c r="C15" s="396"/>
      <c r="D15" s="160" t="str">
        <f>IF(DATE_FIN="","",DATE_FIN)</f>
        <v/>
      </c>
      <c r="E15" s="174" t="s">
        <v>3</v>
      </c>
      <c r="F15" s="178" t="str">
        <f>IF(HEURE_RETOUR="","",HEURE_RETOUR)</f>
        <v/>
      </c>
      <c r="G15" s="409"/>
      <c r="H15" s="405" t="str">
        <f>IF(RESIDENCE_RETOUR="","",RESIDENCE_RETOUR)</f>
        <v/>
      </c>
      <c r="I15" s="406"/>
      <c r="J15" s="34"/>
      <c r="K15" s="34"/>
      <c r="L15" s="401"/>
      <c r="XFD15" s="7">
        <v>12</v>
      </c>
    </row>
    <row r="16" spans="2:12 16382:16384" ht="9" customHeight="1" thickBot="1" x14ac:dyDescent="0.3">
      <c r="B16" s="117"/>
      <c r="C16" s="117"/>
      <c r="D16" s="13"/>
      <c r="E16" s="12"/>
      <c r="F16" s="12"/>
      <c r="G16" s="13"/>
      <c r="H16" s="13"/>
      <c r="I16" s="13"/>
      <c r="J16" s="34"/>
      <c r="K16" s="34"/>
      <c r="L16" s="401"/>
      <c r="XFD16" s="7">
        <v>13</v>
      </c>
    </row>
    <row r="17" spans="2:14 16384:16384" ht="15" customHeight="1" thickBot="1" x14ac:dyDescent="0.3">
      <c r="B17" s="385" t="s">
        <v>330</v>
      </c>
      <c r="C17" s="386"/>
      <c r="D17" s="387"/>
      <c r="E17" s="390" t="str">
        <f>TYPE_MISSION</f>
        <v>CHOIX A FAIRE EN CLIQUANT ICI</v>
      </c>
      <c r="F17" s="391"/>
      <c r="G17" s="391"/>
      <c r="H17" s="391"/>
      <c r="I17" s="392"/>
      <c r="J17" s="34"/>
      <c r="K17" s="34"/>
      <c r="L17" s="40"/>
      <c r="XFD17" s="7">
        <v>25</v>
      </c>
    </row>
    <row r="18" spans="2:14 16384:16384" ht="9" customHeight="1" thickBot="1" x14ac:dyDescent="0.3">
      <c r="B18" s="118"/>
      <c r="C18" s="337"/>
      <c r="D18" s="337"/>
      <c r="E18" s="206"/>
      <c r="F18" s="206"/>
      <c r="G18" s="206"/>
      <c r="H18" s="206"/>
      <c r="I18" s="206"/>
      <c r="J18" s="34"/>
      <c r="K18" s="34"/>
      <c r="L18" s="40"/>
      <c r="XFD18" s="7">
        <v>26</v>
      </c>
    </row>
    <row r="19" spans="2:14 16384:16384" ht="15.75" customHeight="1" thickBot="1" x14ac:dyDescent="0.3">
      <c r="B19" s="120" t="str">
        <f>IF(E17="MISSION ETRANGER","Pays","")</f>
        <v/>
      </c>
      <c r="C19" s="145" t="str">
        <f>IF(PAYS="","",PAYS)</f>
        <v/>
      </c>
      <c r="D19" s="121" t="str">
        <f>IF(E17="MISSION ETRANGER","Devise IJ","")</f>
        <v/>
      </c>
      <c r="E19" s="85" t="str">
        <f>IF(C19="","",VLOOKUP(C19,BASE_IJ,2,FALSE))</f>
        <v/>
      </c>
      <c r="F19" s="239" t="str">
        <f>IF(E19="EURO","","Taux de change")</f>
        <v>Taux de change</v>
      </c>
      <c r="G19" s="345"/>
      <c r="H19" s="397"/>
      <c r="I19" s="398"/>
      <c r="J19" s="34"/>
      <c r="K19" s="34"/>
      <c r="L19" s="40"/>
      <c r="N19" s="204" t="str">
        <f>IF(C19="","","PAYS")</f>
        <v/>
      </c>
      <c r="XFD19" s="7">
        <v>27</v>
      </c>
    </row>
    <row r="20" spans="2:14 16384:16384" ht="15.75" customHeight="1" thickBot="1" x14ac:dyDescent="0.3">
      <c r="B20" s="198" t="s">
        <v>350</v>
      </c>
      <c r="C20" s="399" t="str">
        <f>IF(NUM_OMP="","",NUM_OMP)</f>
        <v/>
      </c>
      <c r="D20" s="399"/>
      <c r="E20" s="84"/>
      <c r="F20" s="239" t="s">
        <v>266</v>
      </c>
      <c r="G20" s="345"/>
      <c r="H20" s="93">
        <f>IF(PAYS="",0,IF(E19="EURO",VLOOKUP(C19,BASE_IJ,3,FALSE),VLOOKUP(C19,BASE_IJ,3,FALSE)*H19))</f>
        <v>0</v>
      </c>
      <c r="I20" s="85"/>
      <c r="J20" s="34"/>
      <c r="K20" s="34"/>
      <c r="L20" s="40"/>
      <c r="XFD20" s="7">
        <v>28</v>
      </c>
    </row>
    <row r="21" spans="2:14 16384:16384" ht="9" customHeight="1" thickBot="1" x14ac:dyDescent="0.3">
      <c r="B21" s="118"/>
      <c r="C21" s="346"/>
      <c r="D21" s="346"/>
      <c r="E21" s="347"/>
      <c r="F21" s="347"/>
      <c r="G21" s="347"/>
      <c r="H21" s="347"/>
      <c r="I21" s="347"/>
      <c r="J21" s="34"/>
      <c r="K21" s="34"/>
      <c r="L21" s="40"/>
      <c r="XFD21" s="7">
        <v>29</v>
      </c>
    </row>
    <row r="22" spans="2:14 16384:16384" ht="25.5" customHeight="1" thickBot="1" x14ac:dyDescent="0.3">
      <c r="B22" s="239" t="s">
        <v>4</v>
      </c>
      <c r="C22" s="240"/>
      <c r="D22" s="345"/>
      <c r="E22" s="119" t="s">
        <v>9</v>
      </c>
      <c r="F22" s="119" t="s">
        <v>5</v>
      </c>
      <c r="G22" s="119" t="s">
        <v>8</v>
      </c>
      <c r="H22" s="339" t="s">
        <v>17</v>
      </c>
      <c r="I22" s="241"/>
      <c r="J22" s="34"/>
      <c r="K22" s="34"/>
      <c r="L22" s="40"/>
      <c r="XFD22" s="7">
        <v>30</v>
      </c>
    </row>
    <row r="23" spans="2:14 16384:16384" x14ac:dyDescent="0.25">
      <c r="B23" s="340" t="s">
        <v>22</v>
      </c>
      <c r="C23" s="381" t="str">
        <f>IF(E17="MISSION ETRANGER","Repas (Forfait Etranger)","Repas (Tarif Forfait)")</f>
        <v>Repas (Tarif Forfait)</v>
      </c>
      <c r="D23" s="382"/>
      <c r="E23" s="156" t="str">
        <f>IF($E$17="MISSION ETRANGER",H20*0.175,IF(OR($E$17="MISSION FRANCE",$E$17="MISSION SUR OM PERMANENT"),20,"Type Mission?"))</f>
        <v>Type Mission?</v>
      </c>
      <c r="F23" s="1"/>
      <c r="G23" s="88" t="str">
        <f>IF(E23="inter","inter",IF(E23="Type Mission?","Type Mission?",IF(ISERROR(E23*F23),0,E23*F23)))</f>
        <v>Type Mission?</v>
      </c>
      <c r="H23" s="141"/>
      <c r="I23" s="21"/>
      <c r="J23" s="34"/>
      <c r="K23" s="34"/>
      <c r="L23" s="35"/>
      <c r="XFD23" s="7">
        <v>31</v>
      </c>
    </row>
    <row r="24" spans="2:14 16384:16384" x14ac:dyDescent="0.25">
      <c r="B24" s="266"/>
      <c r="C24" s="379" t="str">
        <f>IF(E17="MISSION ETRANGER","Repas pris à titre onéreux (France)","Repas dans un restaurant administratif")</f>
        <v>Repas dans un restaurant administratif</v>
      </c>
      <c r="D24" s="380"/>
      <c r="E24" s="157" t="str">
        <f>IF($E$17="MISSION ETRANGER",20,IF(OR($E$17="MISSION FRANCE",$E$17="MISSION SUR OM PERMANENT"),10,"Type Mission?"))</f>
        <v>Type Mission?</v>
      </c>
      <c r="F24" s="2"/>
      <c r="G24" s="89">
        <f>IF(E24="inter","inter",IF(E22="Type Mission?","Type Mission?",IF(ISERROR(E24*F24),0,E24*F24)))</f>
        <v>0</v>
      </c>
      <c r="H24" s="142"/>
      <c r="I24" s="22"/>
      <c r="J24" s="34"/>
      <c r="K24" s="34"/>
      <c r="L24" s="36"/>
      <c r="XFD24" s="7">
        <v>32</v>
      </c>
    </row>
    <row r="25" spans="2:14 16384:16384" x14ac:dyDescent="0.25">
      <c r="B25" s="266"/>
      <c r="C25" s="379" t="s">
        <v>316</v>
      </c>
      <c r="D25" s="380"/>
      <c r="E25" s="51"/>
      <c r="F25" s="2"/>
      <c r="G25" s="89" t="str">
        <f>IF(E25="inter","inter",IF(E23="Type Mission?","Type Mission?",IF(ISERROR(E25*F25),0,E25*F25)))</f>
        <v>Type Mission?</v>
      </c>
      <c r="H25" s="33"/>
      <c r="I25" s="144" t="str">
        <f>IF(E25="","",IF(AND(E25&gt;0,F25&gt;0,H25&gt;0),"OK",IF(AND(E25&lt;20,F25&gt;0),"OK","KO")))</f>
        <v/>
      </c>
      <c r="J25" s="34"/>
      <c r="K25" s="34"/>
      <c r="L25" s="36"/>
      <c r="N25" s="7">
        <f t="shared" ref="N25" si="0">IF(I25="KO",1,0)</f>
        <v>0</v>
      </c>
      <c r="XFD25" s="7">
        <v>32</v>
      </c>
    </row>
    <row r="26" spans="2:14 16384:16384" ht="15.75" thickBot="1" x14ac:dyDescent="0.3">
      <c r="B26" s="266"/>
      <c r="C26" s="460" t="s">
        <v>23</v>
      </c>
      <c r="D26" s="435"/>
      <c r="E26" s="158" t="str">
        <f>IF($E$17="MISSION ETRANGER","Inter",IF(OR($E$17="MISSION FRANCE",$E$17="MISSION SUR OM PERMANENT"),0,"Type Mission?"))</f>
        <v>Type Mission?</v>
      </c>
      <c r="F26" s="3"/>
      <c r="G26" s="87" t="str">
        <f>IF(E26="inter","inter",IF(E23="Type Mission?","Type Mission?",IF(ISERROR(E26*F26),0,E26*F26)))</f>
        <v>Type Mission?</v>
      </c>
      <c r="H26" s="23"/>
      <c r="I26" s="24"/>
      <c r="J26" s="34"/>
      <c r="K26" s="34"/>
      <c r="L26" s="37"/>
      <c r="XFD26" s="7">
        <v>33</v>
      </c>
    </row>
    <row r="27" spans="2:14 16384:16384" ht="15.75" thickBot="1" x14ac:dyDescent="0.3">
      <c r="B27" s="267"/>
      <c r="C27" s="338" t="s">
        <v>18</v>
      </c>
      <c r="D27" s="453"/>
      <c r="E27" s="453"/>
      <c r="F27" s="62">
        <f>SUM(F23:F26)</f>
        <v>0</v>
      </c>
      <c r="G27" s="63">
        <f>SUM(G23:G26)</f>
        <v>0</v>
      </c>
      <c r="H27" s="14"/>
      <c r="I27" s="42"/>
      <c r="J27" s="34"/>
      <c r="K27" s="34"/>
      <c r="XFD27" s="7">
        <v>34</v>
      </c>
    </row>
    <row r="28" spans="2:14 16384:16384" ht="9" customHeight="1" thickBot="1" x14ac:dyDescent="0.3">
      <c r="B28" s="13"/>
      <c r="C28" s="13"/>
      <c r="D28" s="13"/>
      <c r="E28" s="15"/>
      <c r="F28" s="16"/>
      <c r="G28" s="16"/>
      <c r="H28" s="13"/>
      <c r="I28" s="42"/>
      <c r="J28" s="34"/>
      <c r="K28" s="34"/>
      <c r="XFD28" s="7">
        <v>35</v>
      </c>
    </row>
    <row r="29" spans="2:14 16384:16384" ht="15.75" customHeight="1" x14ac:dyDescent="0.25">
      <c r="B29" s="340" t="s">
        <v>26</v>
      </c>
      <c r="C29" s="381" t="s">
        <v>323</v>
      </c>
      <c r="D29" s="382"/>
      <c r="E29" s="27"/>
      <c r="F29" s="1"/>
      <c r="G29" s="88" t="str">
        <f>IF(E17="MISSION ETRANGER",(H20*0.65)*F29,IF($E$23="Type Mission?","Type Mission?",IF(E29&gt;149.99,150*F29,E29*F29)))</f>
        <v>Type Mission?</v>
      </c>
      <c r="H29" s="8"/>
      <c r="I29" s="17" t="str">
        <f>IF(E23="Type Mission?","",IF(AND(F29=0,G29=0),"",IF(AND(F29=0,G29="inter"),"",IF(AND(E29&gt;149.99,H29=0),"KO","OK"))))</f>
        <v/>
      </c>
      <c r="J29" s="34"/>
      <c r="K29" s="34"/>
      <c r="L29" s="35"/>
      <c r="N29" s="7">
        <f t="shared" ref="N29:N33" si="1">IF(I29="KO",1,0)</f>
        <v>0</v>
      </c>
      <c r="XFD29" s="7">
        <v>36</v>
      </c>
    </row>
    <row r="30" spans="2:14 16384:16384" ht="15.75" customHeight="1" x14ac:dyDescent="0.25">
      <c r="B30" s="266"/>
      <c r="C30" s="388" t="s">
        <v>324</v>
      </c>
      <c r="D30" s="389"/>
      <c r="E30" s="51"/>
      <c r="F30" s="53"/>
      <c r="G30" s="90" t="str">
        <f>IF($E$23="inter","inter",IF($E$23="Type Mission?","Type Mission?",E30*F30))</f>
        <v>Type Mission?</v>
      </c>
      <c r="H30" s="33"/>
      <c r="I30" s="54" t="str">
        <f>IF(E25="Type Mission?","",IF(AND(F30=0,G30=0),"",IF(AND(F30=0,G30="inter"),"",IF(E30="","",IF(AND(E30&gt;(0.65*H20),H30=0),"KO",IF(E30="","",IF(AND(E30&gt;149.99,H30=0),"KO","OK")))))))</f>
        <v/>
      </c>
      <c r="J30" s="34"/>
      <c r="K30" s="34"/>
      <c r="L30" s="55"/>
      <c r="N30" s="7">
        <f t="shared" si="1"/>
        <v>0</v>
      </c>
      <c r="XFD30" s="7">
        <v>37</v>
      </c>
    </row>
    <row r="31" spans="2:14 16384:16384" ht="15.75" customHeight="1" x14ac:dyDescent="0.25">
      <c r="B31" s="266"/>
      <c r="C31" s="379" t="s">
        <v>318</v>
      </c>
      <c r="D31" s="380"/>
      <c r="E31" s="146"/>
      <c r="F31" s="2"/>
      <c r="G31" s="91"/>
      <c r="H31" s="52"/>
      <c r="I31" s="22"/>
      <c r="J31" s="34"/>
      <c r="K31" s="34"/>
      <c r="L31" s="36"/>
      <c r="N31" s="7">
        <f t="shared" ref="N31" si="2">IF(I31="KO",1,0)</f>
        <v>0</v>
      </c>
      <c r="XFD31" s="7">
        <v>38</v>
      </c>
    </row>
    <row r="32" spans="2:14 16384:16384" ht="15.75" customHeight="1" x14ac:dyDescent="0.25">
      <c r="B32" s="266"/>
      <c r="C32" s="379" t="s">
        <v>317</v>
      </c>
      <c r="D32" s="380"/>
      <c r="E32" s="146"/>
      <c r="F32" s="2"/>
      <c r="G32" s="91"/>
      <c r="H32" s="52"/>
      <c r="I32" s="22"/>
      <c r="J32" s="34"/>
      <c r="K32" s="34"/>
      <c r="L32" s="36"/>
      <c r="N32" s="7">
        <f t="shared" si="1"/>
        <v>0</v>
      </c>
      <c r="XFD32" s="7">
        <v>38</v>
      </c>
    </row>
    <row r="33" spans="1:14 16384:16384" ht="15.75" customHeight="1" thickBot="1" x14ac:dyDescent="0.3">
      <c r="B33" s="266"/>
      <c r="C33" s="454" t="s">
        <v>45</v>
      </c>
      <c r="D33" s="455"/>
      <c r="E33" s="57"/>
      <c r="F33" s="58"/>
      <c r="G33" s="92" t="str">
        <f>IF($E$23="inter","inter",IF($E$23="Type Mission?","Type Mission?",E33*F33))</f>
        <v>Type Mission?</v>
      </c>
      <c r="H33" s="59"/>
      <c r="I33" s="60" t="str">
        <f>IF(E26="Type Mission?","",IF(AND(F33=0,G33=0),"",IF(AND(F33=0,G33="inter"),"",IF(AND(G33&gt;149.99,H33=0),"KO",IF(F33&lt;H33,"KO","OK")))))</f>
        <v/>
      </c>
      <c r="J33" s="34"/>
      <c r="K33" s="34"/>
      <c r="L33" s="61"/>
      <c r="N33" s="7">
        <f t="shared" si="1"/>
        <v>0</v>
      </c>
      <c r="XFD33" s="7">
        <v>39</v>
      </c>
    </row>
    <row r="34" spans="1:14 16384:16384" ht="15.75" thickBot="1" x14ac:dyDescent="0.3">
      <c r="B34" s="267"/>
      <c r="C34" s="383" t="s">
        <v>19</v>
      </c>
      <c r="D34" s="384"/>
      <c r="E34" s="384"/>
      <c r="F34" s="64">
        <f>SUM(F29:F33)</f>
        <v>0</v>
      </c>
      <c r="G34" s="65">
        <f>SUM(G29:G33)</f>
        <v>0</v>
      </c>
      <c r="H34" s="56"/>
      <c r="I34" s="42"/>
      <c r="J34" s="34"/>
      <c r="K34" s="34"/>
      <c r="XFD34" s="7">
        <v>40</v>
      </c>
    </row>
    <row r="35" spans="1:14 16384:16384" ht="9" customHeight="1" thickBot="1" x14ac:dyDescent="0.3">
      <c r="B35" s="13"/>
      <c r="C35" s="13"/>
      <c r="D35" s="13"/>
      <c r="E35" s="15"/>
      <c r="F35" s="16"/>
      <c r="G35" s="16"/>
      <c r="H35" s="13"/>
      <c r="I35" s="42"/>
      <c r="J35" s="34"/>
      <c r="K35" s="34"/>
      <c r="L35" s="34"/>
      <c r="XFD35" s="7">
        <v>41</v>
      </c>
    </row>
    <row r="36" spans="1:14 16384:16384" ht="15.75" customHeight="1" x14ac:dyDescent="0.25">
      <c r="B36" s="340" t="s">
        <v>27</v>
      </c>
      <c r="C36" s="381" t="s">
        <v>332</v>
      </c>
      <c r="D36" s="382"/>
      <c r="E36" s="4"/>
      <c r="F36" s="1"/>
      <c r="G36" s="88">
        <f>E36*F36</f>
        <v>0</v>
      </c>
      <c r="H36" s="8"/>
      <c r="I36" s="17" t="str">
        <f t="shared" ref="I36:I49" si="3">IF(AND(F36=0,G36=0),"",IF(AND(F36=0,G36="inter"),"",IF(AND($G$41+$G$50+$G$53&gt;30,H36=0),"KO",IF(AND($G$41+$G$50+$G$53&gt;29.99,F36&lt;&gt;H36),"KO","OK"))))</f>
        <v/>
      </c>
      <c r="J36" s="34"/>
      <c r="K36" s="34"/>
      <c r="L36" s="35"/>
      <c r="XFD36" s="7">
        <v>42</v>
      </c>
    </row>
    <row r="37" spans="1:14 16384:16384" ht="15.75" customHeight="1" x14ac:dyDescent="0.25">
      <c r="B37" s="266"/>
      <c r="C37" s="379" t="s">
        <v>50</v>
      </c>
      <c r="D37" s="380"/>
      <c r="E37" s="6"/>
      <c r="F37" s="2"/>
      <c r="G37" s="89">
        <f>E37*F37</f>
        <v>0</v>
      </c>
      <c r="H37" s="9"/>
      <c r="I37" s="18" t="str">
        <f t="shared" si="3"/>
        <v/>
      </c>
      <c r="J37" s="34"/>
      <c r="K37" s="34"/>
      <c r="L37" s="36"/>
      <c r="XFD37" s="7">
        <v>43</v>
      </c>
    </row>
    <row r="38" spans="1:14 16384:16384" ht="15.75" hidden="1" customHeight="1" x14ac:dyDescent="0.25">
      <c r="B38" s="266"/>
      <c r="C38" s="458"/>
      <c r="D38" s="459"/>
      <c r="E38" s="6"/>
      <c r="F38" s="2"/>
      <c r="G38" s="89">
        <f t="shared" ref="G38:G48" si="4">E38*F38</f>
        <v>0</v>
      </c>
      <c r="H38" s="9"/>
      <c r="I38" s="18" t="str">
        <f t="shared" si="3"/>
        <v/>
      </c>
      <c r="J38" s="34"/>
      <c r="K38" s="34"/>
      <c r="L38" s="36"/>
      <c r="XFD38" s="7">
        <v>44</v>
      </c>
    </row>
    <row r="39" spans="1:14 16384:16384" ht="15.75" customHeight="1" x14ac:dyDescent="0.25">
      <c r="A39" s="221" t="str">
        <f>VERSION_FICHIER</f>
        <v>Gestion des Missions - 2025 - V3.8</v>
      </c>
      <c r="B39" s="266"/>
      <c r="C39" s="154" t="s">
        <v>29</v>
      </c>
      <c r="D39" s="25" t="s">
        <v>40</v>
      </c>
      <c r="E39" s="6"/>
      <c r="F39" s="2"/>
      <c r="G39" s="89">
        <f>E39*F39</f>
        <v>0</v>
      </c>
      <c r="H39" s="9"/>
      <c r="I39" s="18" t="str">
        <f t="shared" si="3"/>
        <v/>
      </c>
      <c r="J39" s="34"/>
      <c r="K39" s="34"/>
      <c r="L39" s="36"/>
      <c r="XFD39" s="7">
        <v>45</v>
      </c>
    </row>
    <row r="40" spans="1:14 16384:16384" ht="15.75" customHeight="1" thickBot="1" x14ac:dyDescent="0.3">
      <c r="A40" s="221"/>
      <c r="B40" s="266"/>
      <c r="C40" s="155" t="s">
        <v>29</v>
      </c>
      <c r="D40" s="26" t="s">
        <v>40</v>
      </c>
      <c r="E40" s="5"/>
      <c r="F40" s="3"/>
      <c r="G40" s="87">
        <f>E40*F40</f>
        <v>0</v>
      </c>
      <c r="H40" s="10"/>
      <c r="I40" s="19" t="str">
        <f t="shared" si="3"/>
        <v/>
      </c>
      <c r="J40" s="34"/>
      <c r="K40" s="34"/>
      <c r="L40" s="37"/>
      <c r="XFD40" s="7">
        <v>46</v>
      </c>
    </row>
    <row r="41" spans="1:14 16384:16384" ht="15" customHeight="1" thickBot="1" x14ac:dyDescent="0.3">
      <c r="A41" s="221"/>
      <c r="B41" s="267"/>
      <c r="C41" s="239" t="s">
        <v>20</v>
      </c>
      <c r="D41" s="240"/>
      <c r="E41" s="240"/>
      <c r="F41" s="203">
        <f>SUM(F36:F40)</f>
        <v>0</v>
      </c>
      <c r="G41" s="65">
        <f>SUM(G36:G40)</f>
        <v>0</v>
      </c>
      <c r="H41" s="14"/>
      <c r="I41" s="42" t="str">
        <f t="shared" si="3"/>
        <v/>
      </c>
      <c r="J41" s="34"/>
      <c r="K41" s="34"/>
      <c r="XFD41" s="7">
        <v>47</v>
      </c>
    </row>
    <row r="42" spans="1:14 16384:16384" ht="9" customHeight="1" thickBot="1" x14ac:dyDescent="0.3">
      <c r="A42" s="221"/>
      <c r="B42" s="13"/>
      <c r="C42" s="13"/>
      <c r="D42" s="13"/>
      <c r="E42" s="15"/>
      <c r="F42" s="16"/>
      <c r="G42" s="16"/>
      <c r="H42" s="13"/>
      <c r="I42" s="42" t="str">
        <f t="shared" si="3"/>
        <v/>
      </c>
      <c r="J42" s="34"/>
      <c r="K42" s="34"/>
      <c r="XFD42" s="7">
        <v>48</v>
      </c>
    </row>
    <row r="43" spans="1:14 16384:16384" ht="15" customHeight="1" x14ac:dyDescent="0.25">
      <c r="A43" s="221"/>
      <c r="B43" s="340" t="s">
        <v>28</v>
      </c>
      <c r="C43" s="381" t="s">
        <v>30</v>
      </c>
      <c r="D43" s="382"/>
      <c r="E43" s="4"/>
      <c r="F43" s="1"/>
      <c r="G43" s="88">
        <f t="shared" si="4"/>
        <v>0</v>
      </c>
      <c r="H43" s="8"/>
      <c r="I43" s="17" t="str">
        <f t="shared" si="3"/>
        <v/>
      </c>
      <c r="J43" s="34"/>
      <c r="K43" s="34"/>
      <c r="L43" s="35"/>
      <c r="XFD43" s="7">
        <v>49</v>
      </c>
    </row>
    <row r="44" spans="1:14 16384:16384" ht="15.75" customHeight="1" x14ac:dyDescent="0.25">
      <c r="A44" s="221"/>
      <c r="B44" s="266"/>
      <c r="C44" s="379" t="s">
        <v>31</v>
      </c>
      <c r="D44" s="380"/>
      <c r="E44" s="6"/>
      <c r="F44" s="2"/>
      <c r="G44" s="89">
        <f t="shared" si="4"/>
        <v>0</v>
      </c>
      <c r="H44" s="9"/>
      <c r="I44" s="18" t="str">
        <f t="shared" si="3"/>
        <v/>
      </c>
      <c r="J44" s="34"/>
      <c r="K44" s="34"/>
      <c r="L44" s="36"/>
      <c r="XFD44" s="7">
        <v>50</v>
      </c>
    </row>
    <row r="45" spans="1:14 16384:16384" x14ac:dyDescent="0.25">
      <c r="A45" s="221"/>
      <c r="B45" s="266"/>
      <c r="C45" s="379" t="s">
        <v>32</v>
      </c>
      <c r="D45" s="380"/>
      <c r="E45" s="6"/>
      <c r="F45" s="2"/>
      <c r="G45" s="89">
        <f t="shared" si="4"/>
        <v>0</v>
      </c>
      <c r="H45" s="9"/>
      <c r="I45" s="18" t="str">
        <f t="shared" si="3"/>
        <v/>
      </c>
      <c r="J45" s="34"/>
      <c r="K45" s="34"/>
      <c r="L45" s="36"/>
      <c r="XFD45" s="7">
        <v>51</v>
      </c>
    </row>
    <row r="46" spans="1:14 16384:16384" ht="15.75" customHeight="1" x14ac:dyDescent="0.25">
      <c r="A46" s="221"/>
      <c r="B46" s="266"/>
      <c r="C46" s="379" t="s">
        <v>267</v>
      </c>
      <c r="D46" s="380"/>
      <c r="E46" s="6"/>
      <c r="F46" s="2"/>
      <c r="G46" s="89">
        <f t="shared" ref="G46:G47" si="5">E46*F46</f>
        <v>0</v>
      </c>
      <c r="H46" s="9"/>
      <c r="I46" s="18" t="str">
        <f t="shared" si="3"/>
        <v/>
      </c>
      <c r="J46" s="34"/>
      <c r="K46" s="34"/>
      <c r="L46" s="36"/>
      <c r="XFD46" s="7">
        <v>52</v>
      </c>
    </row>
    <row r="47" spans="1:14 16384:16384" x14ac:dyDescent="0.25">
      <c r="A47" s="221"/>
      <c r="B47" s="266"/>
      <c r="C47" s="379" t="s">
        <v>268</v>
      </c>
      <c r="D47" s="380"/>
      <c r="E47" s="6"/>
      <c r="F47" s="2"/>
      <c r="G47" s="89">
        <f t="shared" si="5"/>
        <v>0</v>
      </c>
      <c r="H47" s="9"/>
      <c r="I47" s="18" t="str">
        <f t="shared" si="3"/>
        <v/>
      </c>
      <c r="J47" s="34"/>
      <c r="K47" s="34"/>
      <c r="L47" s="36"/>
      <c r="XFD47" s="7">
        <v>53</v>
      </c>
    </row>
    <row r="48" spans="1:14 16384:16384" ht="15.75" customHeight="1" x14ac:dyDescent="0.25">
      <c r="A48" s="221"/>
      <c r="B48" s="266"/>
      <c r="C48" s="154" t="s">
        <v>33</v>
      </c>
      <c r="D48" s="25" t="s">
        <v>40</v>
      </c>
      <c r="E48" s="6"/>
      <c r="F48" s="2"/>
      <c r="G48" s="89">
        <f t="shared" si="4"/>
        <v>0</v>
      </c>
      <c r="H48" s="9"/>
      <c r="I48" s="18" t="str">
        <f t="shared" si="3"/>
        <v/>
      </c>
      <c r="J48" s="34"/>
      <c r="K48" s="34"/>
      <c r="L48" s="36"/>
      <c r="XFD48" s="7">
        <v>54</v>
      </c>
    </row>
    <row r="49" spans="1:14 16384:16384" ht="15.75" customHeight="1" thickBot="1" x14ac:dyDescent="0.3">
      <c r="A49" s="221"/>
      <c r="B49" s="266"/>
      <c r="C49" s="155" t="s">
        <v>33</v>
      </c>
      <c r="D49" s="26" t="s">
        <v>40</v>
      </c>
      <c r="E49" s="5"/>
      <c r="F49" s="3"/>
      <c r="G49" s="87">
        <f t="shared" ref="G49" si="6">E49*F49</f>
        <v>0</v>
      </c>
      <c r="H49" s="10"/>
      <c r="I49" s="19" t="str">
        <f t="shared" si="3"/>
        <v/>
      </c>
      <c r="J49" s="34"/>
      <c r="K49" s="34"/>
      <c r="L49" s="37"/>
      <c r="XFD49" s="7">
        <v>55</v>
      </c>
    </row>
    <row r="50" spans="1:14 16384:16384" ht="15.75" customHeight="1" thickBot="1" x14ac:dyDescent="0.3">
      <c r="A50" s="221"/>
      <c r="B50" s="267"/>
      <c r="C50" s="239" t="s">
        <v>21</v>
      </c>
      <c r="D50" s="240"/>
      <c r="E50" s="240"/>
      <c r="F50" s="203">
        <f>SUM(F43:F49)</f>
        <v>0</v>
      </c>
      <c r="G50" s="63">
        <f>SUM(G43:G49)</f>
        <v>0</v>
      </c>
      <c r="H50" s="14"/>
      <c r="I50" s="42"/>
      <c r="J50" s="34"/>
      <c r="K50" s="34"/>
      <c r="XFD50" s="7">
        <v>56</v>
      </c>
    </row>
    <row r="51" spans="1:14 16384:16384" ht="9" customHeight="1" thickBot="1" x14ac:dyDescent="0.3">
      <c r="A51" s="221"/>
      <c r="B51" s="13"/>
      <c r="C51" s="13"/>
      <c r="D51" s="13"/>
      <c r="E51" s="15"/>
      <c r="F51" s="16"/>
      <c r="G51" s="16"/>
      <c r="H51" s="13"/>
      <c r="I51" s="42"/>
      <c r="J51" s="34"/>
      <c r="K51" s="34"/>
      <c r="XFD51" s="7">
        <v>57</v>
      </c>
    </row>
    <row r="52" spans="1:14 16384:16384" ht="15" customHeight="1" x14ac:dyDescent="0.25">
      <c r="A52" s="221"/>
      <c r="B52" s="340" t="s">
        <v>10</v>
      </c>
      <c r="C52" s="161" t="s">
        <v>12</v>
      </c>
      <c r="D52" s="99" t="s">
        <v>44</v>
      </c>
      <c r="E52" s="98"/>
      <c r="F52" s="451" t="s">
        <v>39</v>
      </c>
      <c r="G52" s="452"/>
      <c r="H52" s="449"/>
      <c r="I52" s="450"/>
      <c r="J52" s="34"/>
      <c r="K52" s="34"/>
      <c r="L52" s="35"/>
    </row>
    <row r="53" spans="1:14 16384:16384" ht="15.75" customHeight="1" thickBot="1" x14ac:dyDescent="0.3">
      <c r="A53" s="221"/>
      <c r="B53" s="267"/>
      <c r="C53" s="434" t="s">
        <v>11</v>
      </c>
      <c r="D53" s="435"/>
      <c r="E53" s="86" t="str">
        <f>IF(H52="","",VLOOKUP(H52,$XFB$5:$XFC$8,2,FALSE))</f>
        <v/>
      </c>
      <c r="F53" s="153"/>
      <c r="G53" s="205">
        <f>IF(OR(F53="",E53=""),0,F53*E53)</f>
        <v>0</v>
      </c>
      <c r="H53" s="23"/>
      <c r="I53" s="24"/>
      <c r="J53" s="34"/>
      <c r="K53" s="34"/>
      <c r="L53" s="37"/>
    </row>
    <row r="54" spans="1:14 16384:16384" s="185" customFormat="1" ht="15.75" customHeight="1" thickBot="1" x14ac:dyDescent="0.3">
      <c r="A54" s="221"/>
      <c r="B54" s="179"/>
      <c r="C54" s="180"/>
      <c r="D54" s="180"/>
      <c r="E54" s="181"/>
      <c r="F54" s="181"/>
      <c r="G54" s="182"/>
      <c r="H54" s="181"/>
      <c r="I54" s="183"/>
      <c r="J54" s="184"/>
      <c r="K54" s="184"/>
      <c r="L54" s="184"/>
    </row>
    <row r="55" spans="1:14 16384:16384" s="185" customFormat="1" ht="15.75" customHeight="1" thickBot="1" x14ac:dyDescent="0.3">
      <c r="A55" s="221"/>
      <c r="B55" s="436">
        <f>IF(AVANCE="NON",0,"Attention une avance sur mission a été versée")</f>
        <v>0</v>
      </c>
      <c r="C55" s="437"/>
      <c r="D55" s="438"/>
      <c r="E55" s="181"/>
      <c r="F55" s="439" t="s">
        <v>353</v>
      </c>
      <c r="G55" s="440"/>
      <c r="H55" s="195"/>
      <c r="I55" s="183"/>
      <c r="J55" s="184"/>
      <c r="K55" s="184"/>
      <c r="L55" s="184"/>
    </row>
    <row r="56" spans="1:14 16384:16384" ht="9" customHeight="1" thickBot="1" x14ac:dyDescent="0.3">
      <c r="A56" s="221"/>
      <c r="B56" s="45"/>
      <c r="C56" s="45"/>
      <c r="D56" s="45"/>
      <c r="E56" s="45"/>
      <c r="F56" s="45"/>
      <c r="G56" s="45"/>
      <c r="H56" s="45"/>
      <c r="I56" s="46"/>
      <c r="J56" s="34"/>
      <c r="K56" s="34"/>
    </row>
    <row r="57" spans="1:14 16384:16384" ht="15.75" customHeight="1" thickBot="1" x14ac:dyDescent="0.3">
      <c r="B57" s="456" t="s">
        <v>25</v>
      </c>
      <c r="C57" s="457"/>
      <c r="D57" s="162" t="str">
        <f>IF(SUM(H23:H53)=0,"",SUM(H23:H53))</f>
        <v/>
      </c>
      <c r="E57" s="69"/>
      <c r="G57" s="94" t="s">
        <v>269</v>
      </c>
      <c r="H57" s="95"/>
      <c r="I57" s="46"/>
      <c r="J57" s="34"/>
      <c r="K57" s="34"/>
      <c r="L57" s="41"/>
      <c r="N57" s="7">
        <f>IF(H57="",1,0)</f>
        <v>1</v>
      </c>
    </row>
    <row r="58" spans="1:14 16384:16384" ht="5.25" customHeight="1" x14ac:dyDescent="0.25">
      <c r="B58" s="45"/>
      <c r="C58" s="45"/>
      <c r="D58" s="45"/>
      <c r="E58" s="69"/>
      <c r="F58" s="47"/>
      <c r="G58" s="96"/>
      <c r="H58" s="96"/>
      <c r="I58" s="46"/>
      <c r="J58" s="34"/>
      <c r="K58" s="34"/>
    </row>
    <row r="59" spans="1:14 16384:16384" x14ac:dyDescent="0.25">
      <c r="B59" s="456" t="s">
        <v>38</v>
      </c>
      <c r="C59" s="457"/>
      <c r="D59" s="163">
        <f>(TOTAL_REPAS+TOTAL_NUIT+TOTAL_TC+TOTAL_AUTRES_FRAIS+TOTAL_VEHICULE)-MONTANT_AVANCE</f>
        <v>0</v>
      </c>
      <c r="E59" s="69"/>
      <c r="F59" s="69"/>
      <c r="G59" s="94" t="s">
        <v>270</v>
      </c>
      <c r="H59" s="97"/>
      <c r="I59" s="42"/>
      <c r="J59" s="34"/>
      <c r="K59" s="34"/>
      <c r="N59" s="7">
        <f>IF(H59="",1,0)</f>
        <v>1</v>
      </c>
    </row>
    <row r="60" spans="1:14 16384:16384" ht="15" customHeight="1" thickBot="1" x14ac:dyDescent="0.3">
      <c r="B60" s="441" t="str">
        <f>IF(D59&lt;0,"Attention : il semble y avoir un trop perçu sur mission, un remboursement sera demandé par l'Université si le trop perçu est confirmé par les gestionnaires financiers","")</f>
        <v/>
      </c>
      <c r="C60" s="441"/>
      <c r="D60" s="441"/>
      <c r="E60" s="441"/>
      <c r="F60" s="441"/>
      <c r="G60" s="448" t="s">
        <v>24</v>
      </c>
      <c r="H60" s="448"/>
      <c r="I60" s="42"/>
      <c r="J60" s="34"/>
      <c r="K60" s="34"/>
    </row>
    <row r="61" spans="1:14 16384:16384" ht="15" customHeight="1" x14ac:dyDescent="0.25">
      <c r="B61" s="441"/>
      <c r="C61" s="441"/>
      <c r="D61" s="441"/>
      <c r="E61" s="441"/>
      <c r="F61" s="441"/>
      <c r="G61" s="442" t="str">
        <f>IF(D6="","VOUS NE POUVEZ PAS SIGNER CAR IL MANQUE LE NUMERO D'OM",IF(AND(AVANCE="OUI",H55=""),"VOUS NE POUVEZ PAS SIGNER CAR IL MANQUE LE MONTANT DE L'AVANCE VERSEE",IF(E17="CHOIX A FAIRE EN CLIQUANT ICI","VOUS NE POUVEZ PAS SIGNER CAR VOUS N'AVEZ PAS CHOISI LE TYPE DE MISSIONS",IF(SUM(N57:N59)&gt;0,"LE LIEU ET LA DATE DE SIGNATURE SONT MANQUANTS",IF(SUM(N25:N33)&gt;0,"VOUS NE POUVEZ PAS SIGNER TANT QUE VOUS N'AVEZ PAS MIS LE NOMBRE DE JUSTIFICATIFS NECESSAIRES",IF(G41+G50+G53&lt;30,"",IF(OR((G41+G50+G53)&lt;30,AND((F29+F41+F50)&gt;0,D57="")),"VOUS NE POUVEZ PAS SIGNER TANT QUE VOUS N'AVEZ PAS MIS LE NOMBRE DE JUSTIFICATIFS DANS LES CASES PREVUES",IF((F41+F50)&lt;&gt;SUM(H36:H49),"ATTENTION! VOUS NE POUVEZ PAS SIGNER CAR LE NOMBRE DE JUSTIFICATIFS DE CORRESPOND PAS AU DE JUSTIFICATIFS DECLARES",""))))))))</f>
        <v>VOUS NE POUVEZ PAS SIGNER CAR IL MANQUE LE NUMERO D'OM</v>
      </c>
      <c r="H61" s="443"/>
      <c r="I61" s="42"/>
      <c r="J61" s="34"/>
      <c r="K61" s="34"/>
    </row>
    <row r="62" spans="1:14 16384:16384" x14ac:dyDescent="0.25">
      <c r="C62" s="123"/>
      <c r="D62" s="123"/>
      <c r="E62" s="123"/>
      <c r="F62" s="123"/>
      <c r="G62" s="444"/>
      <c r="H62" s="445"/>
      <c r="I62" s="42"/>
      <c r="J62" s="34"/>
      <c r="K62" s="34"/>
    </row>
    <row r="63" spans="1:14 16384:16384" ht="15.75" customHeight="1" thickBot="1" x14ac:dyDescent="0.3">
      <c r="B63" s="70" t="s">
        <v>307</v>
      </c>
      <c r="C63" s="123"/>
      <c r="D63" s="123"/>
      <c r="E63" s="123"/>
      <c r="F63" s="123"/>
      <c r="G63" s="446"/>
      <c r="H63" s="447"/>
      <c r="I63" s="42"/>
      <c r="J63" s="34"/>
      <c r="K63" s="34"/>
    </row>
    <row r="64" spans="1:14 16384:16384" ht="18.75" customHeight="1" x14ac:dyDescent="0.25">
      <c r="A64" s="34"/>
      <c r="B64" s="70" t="s">
        <v>49</v>
      </c>
      <c r="C64" s="71"/>
      <c r="D64" s="71"/>
      <c r="E64" s="71"/>
      <c r="G64" s="70"/>
      <c r="H64" s="71"/>
      <c r="I64" s="42"/>
      <c r="J64" s="34"/>
      <c r="K64" s="34"/>
      <c r="L64" s="34"/>
    </row>
    <row r="65" spans="1:13" s="31" customFormat="1" ht="12" hidden="1" customHeight="1" x14ac:dyDescent="0.2">
      <c r="A65" s="48"/>
      <c r="B65" s="50" t="s">
        <v>46</v>
      </c>
      <c r="C65" s="49"/>
      <c r="D65" s="49"/>
      <c r="E65" s="49"/>
      <c r="F65" s="49"/>
      <c r="G65" s="49"/>
      <c r="H65" s="49"/>
      <c r="I65" s="49"/>
      <c r="J65" s="48"/>
      <c r="K65" s="48"/>
      <c r="L65" s="48"/>
    </row>
    <row r="66" spans="1:13" s="31" customFormat="1" ht="4.5" hidden="1" customHeight="1" thickBot="1" x14ac:dyDescent="0.25">
      <c r="B66" s="39"/>
      <c r="C66" s="38"/>
      <c r="D66" s="38"/>
      <c r="E66" s="38"/>
      <c r="F66" s="38"/>
      <c r="G66" s="38"/>
      <c r="H66" s="38"/>
      <c r="I66" s="38"/>
      <c r="K66" s="48"/>
    </row>
    <row r="67" spans="1:13" s="31" customFormat="1" ht="15.75" hidden="1" customHeight="1" thickBot="1" x14ac:dyDescent="0.25">
      <c r="B67" s="420" t="s">
        <v>41</v>
      </c>
      <c r="C67" s="421"/>
      <c r="D67" s="422" t="str">
        <f>IF(D69=0,"Dossier saisi et vérifié par","Dossier saisie par")</f>
        <v>Dossier saisi et vérifié par</v>
      </c>
      <c r="E67" s="422"/>
      <c r="F67" s="421"/>
      <c r="G67" s="420" t="s">
        <v>42</v>
      </c>
      <c r="H67" s="422"/>
      <c r="I67" s="421"/>
      <c r="J67" s="412" t="s">
        <v>48</v>
      </c>
      <c r="K67" s="413"/>
      <c r="L67" s="413"/>
      <c r="M67" s="413"/>
    </row>
    <row r="68" spans="1:13" s="31" customFormat="1" ht="48.75" hidden="1" customHeight="1" thickBot="1" x14ac:dyDescent="0.25">
      <c r="B68" s="414"/>
      <c r="C68" s="415"/>
      <c r="D68" s="429"/>
      <c r="E68" s="429"/>
      <c r="F68" s="430"/>
      <c r="G68" s="431"/>
      <c r="H68" s="432"/>
      <c r="I68" s="433"/>
      <c r="J68" s="412"/>
      <c r="K68" s="413"/>
      <c r="L68" s="413"/>
      <c r="M68" s="413"/>
    </row>
    <row r="69" spans="1:13" s="31" customFormat="1" ht="15.75" hidden="1" customHeight="1" x14ac:dyDescent="0.2">
      <c r="B69" s="416"/>
      <c r="C69" s="417"/>
      <c r="D69" s="423"/>
      <c r="E69" s="424"/>
      <c r="F69" s="424"/>
      <c r="G69" s="424"/>
      <c r="H69" s="424"/>
      <c r="I69" s="425"/>
      <c r="J69" s="412"/>
      <c r="K69" s="413"/>
      <c r="L69" s="413"/>
      <c r="M69" s="413"/>
    </row>
    <row r="70" spans="1:13" s="31" customFormat="1" ht="48.75" hidden="1" customHeight="1" thickBot="1" x14ac:dyDescent="0.25">
      <c r="B70" s="418"/>
      <c r="C70" s="419"/>
      <c r="D70" s="426"/>
      <c r="E70" s="427"/>
      <c r="F70" s="427"/>
      <c r="G70" s="427"/>
      <c r="H70" s="427"/>
      <c r="I70" s="428"/>
      <c r="J70" s="412"/>
      <c r="K70" s="413"/>
      <c r="L70" s="413"/>
      <c r="M70" s="413"/>
    </row>
    <row r="71" spans="1:13" s="31" customFormat="1" ht="5.25" hidden="1" customHeight="1" x14ac:dyDescent="0.2">
      <c r="B71" s="32"/>
      <c r="K71" s="48"/>
    </row>
    <row r="72" spans="1:13" ht="15.75" hidden="1" x14ac:dyDescent="0.25">
      <c r="B72" s="20"/>
    </row>
    <row r="73" spans="1:13" ht="15.75" hidden="1" x14ac:dyDescent="0.25">
      <c r="B73" s="20"/>
    </row>
    <row r="74" spans="1:13" ht="15.75" hidden="1" x14ac:dyDescent="0.25">
      <c r="B74" s="20"/>
    </row>
    <row r="75" spans="1:13" ht="15.75" hidden="1" x14ac:dyDescent="0.25">
      <c r="B75" s="20"/>
    </row>
    <row r="76" spans="1:13" ht="15.75" hidden="1" x14ac:dyDescent="0.25">
      <c r="B76" s="20" t="s">
        <v>6</v>
      </c>
      <c r="D76" s="20" t="s">
        <v>7</v>
      </c>
    </row>
    <row r="77" spans="1:13" ht="15.75" hidden="1" x14ac:dyDescent="0.25">
      <c r="B77" s="20"/>
    </row>
    <row r="78" spans="1:13" ht="15.75" hidden="1" x14ac:dyDescent="0.25">
      <c r="B78" s="20"/>
    </row>
  </sheetData>
  <sheetProtection sheet="1" selectLockedCells="1"/>
  <mergeCells count="74">
    <mergeCell ref="C27:E27"/>
    <mergeCell ref="C33:D33"/>
    <mergeCell ref="B59:C59"/>
    <mergeCell ref="B23:B27"/>
    <mergeCell ref="B29:B34"/>
    <mergeCell ref="C38:D38"/>
    <mergeCell ref="C36:D36"/>
    <mergeCell ref="C37:D37"/>
    <mergeCell ref="C26:D26"/>
    <mergeCell ref="C44:D44"/>
    <mergeCell ref="C45:D45"/>
    <mergeCell ref="B36:B41"/>
    <mergeCell ref="C46:D46"/>
    <mergeCell ref="C47:D47"/>
    <mergeCell ref="B57:C57"/>
    <mergeCell ref="C43:D43"/>
    <mergeCell ref="C53:D53"/>
    <mergeCell ref="B43:B50"/>
    <mergeCell ref="B55:D55"/>
    <mergeCell ref="F55:G55"/>
    <mergeCell ref="B60:F61"/>
    <mergeCell ref="G61:H63"/>
    <mergeCell ref="G60:H60"/>
    <mergeCell ref="H52:I52"/>
    <mergeCell ref="F52:G52"/>
    <mergeCell ref="B52:B53"/>
    <mergeCell ref="J67:M70"/>
    <mergeCell ref="B68:C70"/>
    <mergeCell ref="B67:C67"/>
    <mergeCell ref="D67:F67"/>
    <mergeCell ref="D69:I70"/>
    <mergeCell ref="G67:I67"/>
    <mergeCell ref="D68:F68"/>
    <mergeCell ref="G68:I68"/>
    <mergeCell ref="C20:D20"/>
    <mergeCell ref="L6:L16"/>
    <mergeCell ref="G9:I9"/>
    <mergeCell ref="H14:I14"/>
    <mergeCell ref="H15:I15"/>
    <mergeCell ref="D11:I11"/>
    <mergeCell ref="G14:G15"/>
    <mergeCell ref="F6:G6"/>
    <mergeCell ref="C23:D23"/>
    <mergeCell ref="D1:H3"/>
    <mergeCell ref="B6:C6"/>
    <mergeCell ref="H22:I22"/>
    <mergeCell ref="D13:I13"/>
    <mergeCell ref="B15:C15"/>
    <mergeCell ref="C21:D21"/>
    <mergeCell ref="E21:I21"/>
    <mergeCell ref="B9:C9"/>
    <mergeCell ref="B14:C14"/>
    <mergeCell ref="E9:F9"/>
    <mergeCell ref="B11:C11"/>
    <mergeCell ref="B13:C13"/>
    <mergeCell ref="H19:I19"/>
    <mergeCell ref="F20:G20"/>
    <mergeCell ref="B22:D22"/>
    <mergeCell ref="C41:E41"/>
    <mergeCell ref="C50:E50"/>
    <mergeCell ref="C31:D31"/>
    <mergeCell ref="A39:A56"/>
    <mergeCell ref="D4:H4"/>
    <mergeCell ref="C25:D25"/>
    <mergeCell ref="C29:D29"/>
    <mergeCell ref="C24:D24"/>
    <mergeCell ref="C34:E34"/>
    <mergeCell ref="B17:D17"/>
    <mergeCell ref="C32:D32"/>
    <mergeCell ref="C30:D30"/>
    <mergeCell ref="C18:D18"/>
    <mergeCell ref="F19:G19"/>
    <mergeCell ref="E17:I17"/>
    <mergeCell ref="E18:I18"/>
  </mergeCells>
  <conditionalFormatting sqref="I29 I36:I40 I43:I45 I48:I49">
    <cfRule type="containsText" dxfId="64" priority="79" operator="containsText" text="KO">
      <formula>NOT(ISERROR(SEARCH("KO",I29)))</formula>
    </cfRule>
    <cfRule type="containsText" dxfId="63" priority="80" operator="containsText" text="OK">
      <formula>NOT(ISERROR(SEARCH("OK",I29)))</formula>
    </cfRule>
  </conditionalFormatting>
  <conditionalFormatting sqref="E23 E26">
    <cfRule type="cellIs" dxfId="62" priority="67" operator="equal">
      <formula>"Type Mission?"</formula>
    </cfRule>
    <cfRule type="cellIs" dxfId="61" priority="78" operator="equal">
      <formula>"Inter"</formula>
    </cfRule>
  </conditionalFormatting>
  <conditionalFormatting sqref="E29">
    <cfRule type="expression" dxfId="60" priority="38">
      <formula>$E$17="MISSION ETRANGER"</formula>
    </cfRule>
    <cfRule type="expression" dxfId="59" priority="74">
      <formula>$E$23="inter"</formula>
    </cfRule>
    <cfRule type="cellIs" dxfId="58" priority="77" operator="equal">
      <formula>"Inter"</formula>
    </cfRule>
  </conditionalFormatting>
  <conditionalFormatting sqref="G23 G25:G26">
    <cfRule type="cellIs" dxfId="57" priority="76" operator="equal">
      <formula>"Inter"</formula>
    </cfRule>
  </conditionalFormatting>
  <conditionalFormatting sqref="G29">
    <cfRule type="cellIs" dxfId="56" priority="75" operator="equal">
      <formula>"Inter"</formula>
    </cfRule>
  </conditionalFormatting>
  <conditionalFormatting sqref="G23 G29 G25:G26">
    <cfRule type="cellIs" dxfId="55" priority="66" operator="equal">
      <formula>"Type Mission?"</formula>
    </cfRule>
  </conditionalFormatting>
  <conditionalFormatting sqref="E32">
    <cfRule type="expression" dxfId="54" priority="63">
      <formula>$E$23="inter"</formula>
    </cfRule>
    <cfRule type="cellIs" dxfId="53" priority="65" operator="equal">
      <formula>"Inter"</formula>
    </cfRule>
  </conditionalFormatting>
  <conditionalFormatting sqref="G32">
    <cfRule type="cellIs" dxfId="52" priority="64" operator="equal">
      <formula>"Inter"</formula>
    </cfRule>
  </conditionalFormatting>
  <conditionalFormatting sqref="G32">
    <cfRule type="cellIs" dxfId="51" priority="62" operator="equal">
      <formula>"Type Mission?"</formula>
    </cfRule>
  </conditionalFormatting>
  <conditionalFormatting sqref="I33">
    <cfRule type="containsText" dxfId="50" priority="60" operator="containsText" text="KO">
      <formula>NOT(ISERROR(SEARCH("KO",I33)))</formula>
    </cfRule>
    <cfRule type="containsText" dxfId="49" priority="61" operator="containsText" text="OK">
      <formula>NOT(ISERROR(SEARCH("OK",I33)))</formula>
    </cfRule>
  </conditionalFormatting>
  <conditionalFormatting sqref="E33">
    <cfRule type="expression" dxfId="48" priority="57">
      <formula>$E$23="inter"</formula>
    </cfRule>
    <cfRule type="cellIs" dxfId="47" priority="59" operator="equal">
      <formula>"Inter"</formula>
    </cfRule>
  </conditionalFormatting>
  <conditionalFormatting sqref="G33">
    <cfRule type="cellIs" dxfId="46" priority="58" operator="equal">
      <formula>"Inter"</formula>
    </cfRule>
  </conditionalFormatting>
  <conditionalFormatting sqref="G33">
    <cfRule type="cellIs" dxfId="45" priority="56" operator="equal">
      <formula>"Type Mission?"</formula>
    </cfRule>
  </conditionalFormatting>
  <conditionalFormatting sqref="D69">
    <cfRule type="cellIs" dxfId="44" priority="54" operator="equal">
      <formula>0</formula>
    </cfRule>
  </conditionalFormatting>
  <conditionalFormatting sqref="I30">
    <cfRule type="containsText" dxfId="43" priority="51" operator="containsText" text="KO">
      <formula>NOT(ISERROR(SEARCH("KO",I30)))</formula>
    </cfRule>
    <cfRule type="containsText" dxfId="42" priority="52" operator="containsText" text="OK">
      <formula>NOT(ISERROR(SEARCH("OK",I30)))</formula>
    </cfRule>
  </conditionalFormatting>
  <conditionalFormatting sqref="E30">
    <cfRule type="expression" dxfId="41" priority="48">
      <formula>$E$23="inter"</formula>
    </cfRule>
    <cfRule type="cellIs" dxfId="40" priority="50" operator="equal">
      <formula>"Inter"</formula>
    </cfRule>
  </conditionalFormatting>
  <conditionalFormatting sqref="G30">
    <cfRule type="cellIs" dxfId="39" priority="49" operator="equal">
      <formula>"Inter"</formula>
    </cfRule>
  </conditionalFormatting>
  <conditionalFormatting sqref="G30">
    <cfRule type="cellIs" dxfId="38" priority="47" operator="equal">
      <formula>"Type Mission?"</formula>
    </cfRule>
  </conditionalFormatting>
  <conditionalFormatting sqref="I46:I47">
    <cfRule type="containsText" dxfId="37" priority="45" operator="containsText" text="KO">
      <formula>NOT(ISERROR(SEARCH("KO",I46)))</formula>
    </cfRule>
    <cfRule type="containsText" dxfId="36" priority="46" operator="containsText" text="OK">
      <formula>NOT(ISERROR(SEARCH("OK",I46)))</formula>
    </cfRule>
  </conditionalFormatting>
  <conditionalFormatting sqref="G61">
    <cfRule type="cellIs" dxfId="35" priority="39" operator="equal">
      <formula>"VOUS NE POUVEZ PAS SIGNER CAR VOUS N'AVEZ PAS CHOISI LE TYPE DE MISSIONS"</formula>
    </cfRule>
    <cfRule type="cellIs" dxfId="34" priority="40" operator="equal">
      <formula>"VOUS NE POUVEZ PAS SIGNER TANT QUE VOUS N'AVEZ PAS MIS LE NOMBRE DE JUSTIFICATIF DANS LES CASES PREVUES"</formula>
    </cfRule>
    <cfRule type="cellIs" dxfId="33" priority="41" operator="equal">
      <formula>"ATTENTION! VOUS NE POUVEZ PAS SIGNER CAR LE NOMBRE DE JUSTIFICATIFS DE CORRESPOND PAS AU DE JUSTIFICATIFS DECLARES"</formula>
    </cfRule>
  </conditionalFormatting>
  <conditionalFormatting sqref="B19:I19 E20:I20">
    <cfRule type="expression" dxfId="32" priority="36">
      <formula>$E$17="CHOIX A FAIRE EN CLIQUANT ICI"</formula>
    </cfRule>
    <cfRule type="expression" dxfId="31" priority="37">
      <formula>$E$17="MISSION FRANCE"</formula>
    </cfRule>
  </conditionalFormatting>
  <conditionalFormatting sqref="G61:H63">
    <cfRule type="cellIs" dxfId="30" priority="2" operator="equal">
      <formula>"VOUS NE POUVEZ PAS SIGNER CAR IL MANQUE LE MONTANT DE L'AVANCE VERSEE"</formula>
    </cfRule>
    <cfRule type="cellIs" dxfId="29" priority="32" operator="equal">
      <formula>"VOUS NE POUVEZ PAS SIGNER CAR IL MANQUE LE NUMERO D'OM"</formula>
    </cfRule>
    <cfRule type="cellIs" dxfId="28" priority="34" operator="equal">
      <formula>"VOUS NE POUVEZ PAS SIGNER TANT QUE VOUS N'AVEZ PAS MIS LE NOMBRE DE JUSTIFICATIFS NECESSAIRES"</formula>
    </cfRule>
    <cfRule type="cellIs" dxfId="27" priority="35" operator="equal">
      <formula>"LE LIEU ET LA DATE DE SIGNATURE SONT MANQUANTS"</formula>
    </cfRule>
  </conditionalFormatting>
  <conditionalFormatting sqref="E17:I17">
    <cfRule type="cellIs" dxfId="26" priority="33" operator="equal">
      <formula>"CHOIX DU TYPE DE MISSION (CHOIX A FAIRE EN CLIQUANT ICI)"</formula>
    </cfRule>
    <cfRule type="cellIs" dxfId="25" priority="1" operator="equal">
      <formula>"CHOIX A FAIRE EN CLIQUANT ICI"</formula>
    </cfRule>
  </conditionalFormatting>
  <conditionalFormatting sqref="E24">
    <cfRule type="cellIs" dxfId="24" priority="29" operator="equal">
      <formula>"Type Mission?"</formula>
    </cfRule>
    <cfRule type="cellIs" dxfId="23" priority="31" operator="equal">
      <formula>"Inter"</formula>
    </cfRule>
  </conditionalFormatting>
  <conditionalFormatting sqref="G24">
    <cfRule type="cellIs" dxfId="22" priority="30" operator="equal">
      <formula>"Inter"</formula>
    </cfRule>
  </conditionalFormatting>
  <conditionalFormatting sqref="G24">
    <cfRule type="cellIs" dxfId="21" priority="28" operator="equal">
      <formula>"Type Mission?"</formula>
    </cfRule>
  </conditionalFormatting>
  <conditionalFormatting sqref="E31">
    <cfRule type="expression" dxfId="20" priority="21">
      <formula>$E$23="inter"</formula>
    </cfRule>
    <cfRule type="cellIs" dxfId="19" priority="23" operator="equal">
      <formula>"Inter"</formula>
    </cfRule>
  </conditionalFormatting>
  <conditionalFormatting sqref="G31">
    <cfRule type="cellIs" dxfId="18" priority="22" operator="equal">
      <formula>"Inter"</formula>
    </cfRule>
  </conditionalFormatting>
  <conditionalFormatting sqref="G31">
    <cfRule type="cellIs" dxfId="17" priority="20" operator="equal">
      <formula>"Type Mission?"</formula>
    </cfRule>
  </conditionalFormatting>
  <conditionalFormatting sqref="I25">
    <cfRule type="cellIs" dxfId="16" priority="18" operator="equal">
      <formula>"KO"</formula>
    </cfRule>
    <cfRule type="cellIs" dxfId="15" priority="19" operator="equal">
      <formula>"OK"</formula>
    </cfRule>
  </conditionalFormatting>
  <conditionalFormatting sqref="E25">
    <cfRule type="expression" dxfId="14" priority="16">
      <formula>$E$23="inter"</formula>
    </cfRule>
    <cfRule type="cellIs" dxfId="13" priority="17" operator="equal">
      <formula>"Inter"</formula>
    </cfRule>
  </conditionalFormatting>
  <conditionalFormatting sqref="B55:D55">
    <cfRule type="cellIs" dxfId="12" priority="15" operator="equal">
      <formula>0</formula>
    </cfRule>
  </conditionalFormatting>
  <conditionalFormatting sqref="B20:C20">
    <cfRule type="expression" dxfId="11" priority="11">
      <formula>$E$15="OM PERMANENT"</formula>
    </cfRule>
  </conditionalFormatting>
  <conditionalFormatting sqref="B20:C20">
    <cfRule type="expression" dxfId="10" priority="13">
      <formula>$E$15="CHOIX A FAIRE EN CLIQUANT ICI"</formula>
    </cfRule>
  </conditionalFormatting>
  <conditionalFormatting sqref="B20:C20">
    <cfRule type="expression" dxfId="9" priority="14">
      <formula>$E$15="MISSION FRANCE"</formula>
    </cfRule>
  </conditionalFormatting>
  <conditionalFormatting sqref="B20:C20">
    <cfRule type="expression" dxfId="8" priority="12">
      <formula>$E$15="MISSION SANS FRAIS"</formula>
    </cfRule>
  </conditionalFormatting>
  <conditionalFormatting sqref="B20">
    <cfRule type="expression" dxfId="7" priority="7">
      <formula>$E$17="MISSION SUR OM PERMANENT"</formula>
    </cfRule>
    <cfRule type="expression" dxfId="6" priority="10">
      <formula>$E$15="MISSION SUR OM PERMANENT"</formula>
    </cfRule>
  </conditionalFormatting>
  <conditionalFormatting sqref="C20:D20">
    <cfRule type="expression" dxfId="5" priority="6">
      <formula>$E$17="MISSION SUR OM PERMANENT"</formula>
    </cfRule>
    <cfRule type="expression" dxfId="4" priority="9">
      <formula>$E$15="MISSION SUR OM PERMANENT"</formula>
    </cfRule>
  </conditionalFormatting>
  <conditionalFormatting sqref="B19:I19 F20:I20">
    <cfRule type="expression" dxfId="3" priority="5">
      <formula>$E$17="OM PERMANENT"</formula>
    </cfRule>
    <cfRule type="expression" dxfId="2" priority="8">
      <formula>$E$17="MISSION SUR OM PERMANENT"</formula>
    </cfRule>
  </conditionalFormatting>
  <conditionalFormatting sqref="F55:H55">
    <cfRule type="expression" dxfId="1" priority="4">
      <formula>$B$55=0</formula>
    </cfRule>
  </conditionalFormatting>
  <conditionalFormatting sqref="D59">
    <cfRule type="cellIs" dxfId="0" priority="3" operator="lessThan">
      <formula>0</formula>
    </cfRule>
  </conditionalFormatting>
  <dataValidations xWindow="685" yWindow="778" count="14">
    <dataValidation allowBlank="1" showInputMessage="1" showErrorMessage="1" promptTitle="Quantité / Nombre" prompt="N'oubliez pas de saisir le nombre de justificatifs lié au frais que vous saisissez" sqref="F23:F26 F36:F40 F43:F49 F33 F29:F30"/>
    <dataValidation allowBlank="1" showInputMessage="1" showErrorMessage="1" promptTitle="Montant Unitaire" prompt="Notez ici le montant unitaire du frais que vous saissisez" sqref="E43:E49 E36:E40 E33 E29"/>
    <dataValidation allowBlank="1" showInputMessage="1" showErrorMessage="1" promptTitle="Nombre de Km" prompt="Les services financiers prennent comme base les km Mappy/Via Michelin avec l'option &quot;trajet le plus court&quot;" sqref="F53"/>
    <dataValidation type="list" allowBlank="1" showInputMessage="1" showErrorMessage="1" promptTitle="Nombre de Chevaux" prompt="Utilisez le menu déroulant pour choisir votre nomb re de chevaux fiscaux (si vous ne le connaissez pas, il figure sur la rubrique P6 de la carte grise)" sqref="H52:I52">
      <formula1>$XFB$5:$XFB$8</formula1>
    </dataValidation>
    <dataValidation type="list" allowBlank="1" showInputMessage="1" showErrorMessage="1" promptTitle="Nombre de Justificatif" prompt="Notez le nombre de justificatifs" sqref="H36:H40 H25 H33 H43:H49 H30">
      <formula1>$XFD$1:$XFD$42</formula1>
    </dataValidation>
    <dataValidation type="list" allowBlank="1" showInputMessage="1" showErrorMessage="1" sqref="H29">
      <formula1>$XFD$1:$XFD$42</formula1>
    </dataValidation>
    <dataValidation allowBlank="1" showInputMessage="1" showErrorMessage="1" promptTitle="Montant Unitaire" prompt="Si 1 seule nuit est concernée, notez ici le montant unitaire du frais que vous saissisez_x000a__x000a_Si plusieurs nuits sont concernées, notez ici la moyenne des montants du frais que vous saissisez" sqref="E30"/>
    <dataValidation allowBlank="1" showInputMessage="1" showErrorMessage="1" promptTitle="Montant Unitaire" prompt="Si 1 seul repas est concerné, notez ici le montant unitaire du frais que vous saissisez_x000a__x000a_Si plusieurs repas sont concernés, notez ici la moyenne des montants du frais que vous saissisez" sqref="E25"/>
    <dataValidation allowBlank="1" showInputMessage="1" showErrorMessage="1" promptTitle="Heures" prompt="Les heures de mission finales sont à renoter afin de confirmer les heures initiales" sqref="F14:F15 G14"/>
    <dataValidation allowBlank="1" showInputMessage="1" showErrorMessage="1" promptTitle="Immatriculation" prompt="Saisir ici votre plaque d'immatriculation" sqref="D52"/>
    <dataValidation allowBlank="1" showInputMessage="1" showErrorMessage="1" promptTitle="Date de Délcaration de Frais" prompt=" " sqref="H57"/>
    <dataValidation allowBlank="1" showInputMessage="1" showErrorMessage="1" promptTitle="Lieu de Délcaration de Frais" prompt=" " sqref="H59"/>
    <dataValidation allowBlank="1" showInputMessage="1" showErrorMessage="1" promptTitle="Signature de l'Agent" prompt=" " sqref="G61:H63"/>
    <dataValidation allowBlank="1" showInputMessage="1" showErrorMessage="1" promptTitle="Taux de Change" prompt="Indiquer ici le taux de change du Minefi à la date de la mission" sqref="H19:I19"/>
  </dataValidations>
  <printOptions horizontalCentered="1" verticalCentered="1"/>
  <pageMargins left="0" right="0" top="0" bottom="0" header="0.31496062992125984" footer="0.31496062992125984"/>
  <pageSetup paperSize="9" scale="9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210"/>
  <sheetViews>
    <sheetView showGridLines="0" showRowColHeaders="0" workbookViewId="0"/>
  </sheetViews>
  <sheetFormatPr baseColWidth="10" defaultColWidth="0" defaultRowHeight="15" zeroHeight="1" x14ac:dyDescent="0.25"/>
  <cols>
    <col min="1" max="1" width="57.28515625" customWidth="1"/>
    <col min="2" max="2" width="36.7109375" customWidth="1"/>
    <col min="3" max="3" width="23.140625" style="147" customWidth="1"/>
    <col min="4" max="6" width="19.5703125" customWidth="1"/>
    <col min="7" max="7" width="1.85546875" customWidth="1"/>
    <col min="8" max="16384" width="11.42578125" hidden="1"/>
  </cols>
  <sheetData>
    <row r="1" spans="1:6" ht="45.75" thickBot="1" x14ac:dyDescent="0.3">
      <c r="A1" s="72" t="s">
        <v>55</v>
      </c>
      <c r="B1" s="81" t="s">
        <v>56</v>
      </c>
      <c r="C1" s="82" t="s">
        <v>384</v>
      </c>
      <c r="D1" s="82" t="s">
        <v>327</v>
      </c>
      <c r="E1" s="82" t="s">
        <v>328</v>
      </c>
      <c r="F1" s="82" t="s">
        <v>329</v>
      </c>
    </row>
    <row r="2" spans="1:6" x14ac:dyDescent="0.25">
      <c r="A2" s="73" t="s">
        <v>57</v>
      </c>
      <c r="B2" s="148" t="s">
        <v>58</v>
      </c>
      <c r="C2" s="150">
        <v>279</v>
      </c>
      <c r="D2" s="74">
        <f t="shared" ref="D2:D63" si="0">C2*0.65</f>
        <v>181.35</v>
      </c>
      <c r="E2" s="74">
        <f t="shared" ref="E2:E63" si="1">C2*0.175</f>
        <v>48.824999999999996</v>
      </c>
      <c r="F2" s="74">
        <f t="shared" ref="F2:F63" si="2">C2*0.175</f>
        <v>48.824999999999996</v>
      </c>
    </row>
    <row r="3" spans="1:6" x14ac:dyDescent="0.25">
      <c r="A3" s="75" t="s">
        <v>362</v>
      </c>
      <c r="B3" s="148" t="s">
        <v>59</v>
      </c>
      <c r="C3" s="150">
        <v>138</v>
      </c>
      <c r="D3" s="74">
        <f t="shared" si="0"/>
        <v>89.7</v>
      </c>
      <c r="E3" s="74">
        <f t="shared" si="1"/>
        <v>24.15</v>
      </c>
      <c r="F3" s="74">
        <f t="shared" si="2"/>
        <v>24.15</v>
      </c>
    </row>
    <row r="4" spans="1:6" x14ac:dyDescent="0.25">
      <c r="A4" s="75" t="s">
        <v>363</v>
      </c>
      <c r="B4" s="148" t="s">
        <v>59</v>
      </c>
      <c r="C4" s="150">
        <v>185</v>
      </c>
      <c r="D4" s="74">
        <f t="shared" si="0"/>
        <v>120.25</v>
      </c>
      <c r="E4" s="74">
        <f t="shared" si="1"/>
        <v>32.375</v>
      </c>
      <c r="F4" s="74">
        <f t="shared" si="2"/>
        <v>32.375</v>
      </c>
    </row>
    <row r="5" spans="1:6" x14ac:dyDescent="0.25">
      <c r="A5" s="75" t="s">
        <v>60</v>
      </c>
      <c r="B5" s="148" t="s">
        <v>59</v>
      </c>
      <c r="C5" s="150">
        <v>130</v>
      </c>
      <c r="D5" s="74">
        <f t="shared" si="0"/>
        <v>84.5</v>
      </c>
      <c r="E5" s="74">
        <f t="shared" si="1"/>
        <v>22.75</v>
      </c>
      <c r="F5" s="74">
        <f t="shared" si="2"/>
        <v>22.75</v>
      </c>
    </row>
    <row r="6" spans="1:6" x14ac:dyDescent="0.25">
      <c r="A6" s="75" t="s">
        <v>61</v>
      </c>
      <c r="B6" s="148" t="s">
        <v>62</v>
      </c>
      <c r="C6" s="151">
        <v>20480</v>
      </c>
      <c r="D6" s="76">
        <f t="shared" si="0"/>
        <v>13312</v>
      </c>
      <c r="E6" s="76">
        <f t="shared" si="1"/>
        <v>3584</v>
      </c>
      <c r="F6" s="76">
        <f t="shared" si="2"/>
        <v>3584</v>
      </c>
    </row>
    <row r="7" spans="1:6" x14ac:dyDescent="0.25">
      <c r="A7" s="75" t="s">
        <v>63</v>
      </c>
      <c r="B7" s="148" t="s">
        <v>59</v>
      </c>
      <c r="C7" s="150">
        <v>164</v>
      </c>
      <c r="D7" s="74">
        <f t="shared" si="0"/>
        <v>106.60000000000001</v>
      </c>
      <c r="E7" s="74">
        <f t="shared" si="1"/>
        <v>28.7</v>
      </c>
      <c r="F7" s="74">
        <f t="shared" si="2"/>
        <v>28.7</v>
      </c>
    </row>
    <row r="8" spans="1:6" x14ac:dyDescent="0.25">
      <c r="A8" s="75" t="s">
        <v>64</v>
      </c>
      <c r="B8" s="148" t="s">
        <v>59</v>
      </c>
      <c r="C8" s="150">
        <v>118</v>
      </c>
      <c r="D8" s="74">
        <f t="shared" si="0"/>
        <v>76.7</v>
      </c>
      <c r="E8" s="74">
        <f t="shared" si="1"/>
        <v>20.65</v>
      </c>
      <c r="F8" s="74">
        <f t="shared" si="2"/>
        <v>20.65</v>
      </c>
    </row>
    <row r="9" spans="1:6" x14ac:dyDescent="0.25">
      <c r="A9" s="75" t="s">
        <v>65</v>
      </c>
      <c r="B9" s="148" t="s">
        <v>59</v>
      </c>
      <c r="C9" s="150">
        <v>300</v>
      </c>
      <c r="D9" s="74">
        <f t="shared" si="0"/>
        <v>195</v>
      </c>
      <c r="E9" s="74">
        <f t="shared" si="1"/>
        <v>52.5</v>
      </c>
      <c r="F9" s="74">
        <f t="shared" si="2"/>
        <v>52.5</v>
      </c>
    </row>
    <row r="10" spans="1:6" x14ac:dyDescent="0.25">
      <c r="A10" s="75" t="s">
        <v>66</v>
      </c>
      <c r="B10" s="148" t="s">
        <v>58</v>
      </c>
      <c r="C10" s="150">
        <v>208</v>
      </c>
      <c r="D10" s="74">
        <f t="shared" si="0"/>
        <v>135.20000000000002</v>
      </c>
      <c r="E10" s="74">
        <f t="shared" si="1"/>
        <v>36.4</v>
      </c>
      <c r="F10" s="74">
        <f t="shared" si="2"/>
        <v>36.4</v>
      </c>
    </row>
    <row r="11" spans="1:6" x14ac:dyDescent="0.25">
      <c r="A11" s="75" t="s">
        <v>67</v>
      </c>
      <c r="B11" s="148" t="s">
        <v>58</v>
      </c>
      <c r="C11" s="150">
        <v>308</v>
      </c>
      <c r="D11" s="74">
        <f t="shared" si="0"/>
        <v>200.20000000000002</v>
      </c>
      <c r="E11" s="74">
        <f t="shared" si="1"/>
        <v>53.9</v>
      </c>
      <c r="F11" s="74">
        <f t="shared" si="2"/>
        <v>53.9</v>
      </c>
    </row>
    <row r="12" spans="1:6" x14ac:dyDescent="0.25">
      <c r="A12" s="75" t="s">
        <v>68</v>
      </c>
      <c r="B12" s="148" t="s">
        <v>59</v>
      </c>
      <c r="C12" s="150">
        <v>337</v>
      </c>
      <c r="D12" s="74">
        <f t="shared" si="0"/>
        <v>219.05</v>
      </c>
      <c r="E12" s="74">
        <f t="shared" si="1"/>
        <v>58.974999999999994</v>
      </c>
      <c r="F12" s="74">
        <f t="shared" si="2"/>
        <v>58.974999999999994</v>
      </c>
    </row>
    <row r="13" spans="1:6" x14ac:dyDescent="0.25">
      <c r="A13" s="75" t="s">
        <v>69</v>
      </c>
      <c r="B13" s="148" t="s">
        <v>58</v>
      </c>
      <c r="C13" s="150">
        <v>157</v>
      </c>
      <c r="D13" s="74">
        <f t="shared" si="0"/>
        <v>102.05</v>
      </c>
      <c r="E13" s="74">
        <f t="shared" si="1"/>
        <v>27.474999999999998</v>
      </c>
      <c r="F13" s="74">
        <f t="shared" si="2"/>
        <v>27.474999999999998</v>
      </c>
    </row>
    <row r="14" spans="1:6" x14ac:dyDescent="0.25">
      <c r="A14" s="75" t="s">
        <v>70</v>
      </c>
      <c r="B14" s="148" t="s">
        <v>59</v>
      </c>
      <c r="C14" s="150">
        <v>186</v>
      </c>
      <c r="D14" s="74">
        <f t="shared" si="0"/>
        <v>120.9</v>
      </c>
      <c r="E14" s="74">
        <f t="shared" si="1"/>
        <v>32.549999999999997</v>
      </c>
      <c r="F14" s="74">
        <f t="shared" si="2"/>
        <v>32.549999999999997</v>
      </c>
    </row>
    <row r="15" spans="1:6" x14ac:dyDescent="0.25">
      <c r="A15" s="75" t="s">
        <v>71</v>
      </c>
      <c r="B15" s="148" t="s">
        <v>58</v>
      </c>
      <c r="C15" s="150">
        <v>150</v>
      </c>
      <c r="D15" s="74">
        <f t="shared" si="0"/>
        <v>97.5</v>
      </c>
      <c r="E15" s="74">
        <f t="shared" si="1"/>
        <v>26.25</v>
      </c>
      <c r="F15" s="74">
        <f t="shared" si="2"/>
        <v>26.25</v>
      </c>
    </row>
    <row r="16" spans="1:6" x14ac:dyDescent="0.25">
      <c r="A16" s="75" t="s">
        <v>72</v>
      </c>
      <c r="B16" s="148" t="s">
        <v>73</v>
      </c>
      <c r="C16" s="150">
        <v>348</v>
      </c>
      <c r="D16" s="74">
        <f t="shared" si="0"/>
        <v>226.20000000000002</v>
      </c>
      <c r="E16" s="74">
        <f t="shared" si="1"/>
        <v>60.9</v>
      </c>
      <c r="F16" s="74">
        <f t="shared" si="2"/>
        <v>60.9</v>
      </c>
    </row>
    <row r="17" spans="1:6" x14ac:dyDescent="0.25">
      <c r="A17" s="75" t="s">
        <v>74</v>
      </c>
      <c r="B17" s="148" t="s">
        <v>59</v>
      </c>
      <c r="C17" s="150">
        <v>175</v>
      </c>
      <c r="D17" s="74">
        <f t="shared" si="0"/>
        <v>113.75</v>
      </c>
      <c r="E17" s="74">
        <f t="shared" si="1"/>
        <v>30.624999999999996</v>
      </c>
      <c r="F17" s="74">
        <f t="shared" si="2"/>
        <v>30.624999999999996</v>
      </c>
    </row>
    <row r="18" spans="1:6" x14ac:dyDescent="0.25">
      <c r="A18" s="75" t="s">
        <v>75</v>
      </c>
      <c r="B18" s="148" t="s">
        <v>59</v>
      </c>
      <c r="C18" s="150">
        <v>204</v>
      </c>
      <c r="D18" s="74">
        <f t="shared" si="0"/>
        <v>132.6</v>
      </c>
      <c r="E18" s="74">
        <f t="shared" si="1"/>
        <v>35.699999999999996</v>
      </c>
      <c r="F18" s="74">
        <f t="shared" si="2"/>
        <v>35.699999999999996</v>
      </c>
    </row>
    <row r="19" spans="1:6" x14ac:dyDescent="0.25">
      <c r="A19" s="75" t="s">
        <v>76</v>
      </c>
      <c r="B19" s="148" t="s">
        <v>58</v>
      </c>
      <c r="C19" s="150">
        <v>450</v>
      </c>
      <c r="D19" s="74">
        <f t="shared" si="0"/>
        <v>292.5</v>
      </c>
      <c r="E19" s="74">
        <f t="shared" si="1"/>
        <v>78.75</v>
      </c>
      <c r="F19" s="74">
        <f t="shared" si="2"/>
        <v>78.75</v>
      </c>
    </row>
    <row r="20" spans="1:6" x14ac:dyDescent="0.25">
      <c r="A20" s="75" t="s">
        <v>77</v>
      </c>
      <c r="B20" s="148" t="s">
        <v>59</v>
      </c>
      <c r="C20" s="150">
        <v>200</v>
      </c>
      <c r="D20" s="74">
        <f t="shared" si="0"/>
        <v>130</v>
      </c>
      <c r="E20" s="74">
        <f t="shared" si="1"/>
        <v>35</v>
      </c>
      <c r="F20" s="74">
        <f t="shared" si="2"/>
        <v>35</v>
      </c>
    </row>
    <row r="21" spans="1:6" x14ac:dyDescent="0.25">
      <c r="A21" s="75" t="s">
        <v>78</v>
      </c>
      <c r="B21" s="148" t="s">
        <v>59</v>
      </c>
      <c r="C21" s="150">
        <v>258</v>
      </c>
      <c r="D21" s="74">
        <f t="shared" si="0"/>
        <v>167.70000000000002</v>
      </c>
      <c r="E21" s="74">
        <f t="shared" si="1"/>
        <v>45.15</v>
      </c>
      <c r="F21" s="74">
        <f t="shared" si="2"/>
        <v>45.15</v>
      </c>
    </row>
    <row r="22" spans="1:6" x14ac:dyDescent="0.25">
      <c r="A22" s="75" t="s">
        <v>364</v>
      </c>
      <c r="B22" s="148" t="s">
        <v>58</v>
      </c>
      <c r="C22" s="150">
        <v>355</v>
      </c>
      <c r="D22" s="74">
        <f t="shared" si="0"/>
        <v>230.75</v>
      </c>
      <c r="E22" s="74">
        <f t="shared" si="1"/>
        <v>62.124999999999993</v>
      </c>
      <c r="F22" s="74">
        <f t="shared" si="2"/>
        <v>62.124999999999993</v>
      </c>
    </row>
    <row r="23" spans="1:6" x14ac:dyDescent="0.25">
      <c r="A23" s="75" t="s">
        <v>79</v>
      </c>
      <c r="B23" s="148" t="s">
        <v>59</v>
      </c>
      <c r="C23" s="150">
        <v>206</v>
      </c>
      <c r="D23" s="74">
        <f t="shared" si="0"/>
        <v>133.9</v>
      </c>
      <c r="E23" s="74">
        <f t="shared" si="1"/>
        <v>36.049999999999997</v>
      </c>
      <c r="F23" s="74">
        <f t="shared" si="2"/>
        <v>36.049999999999997</v>
      </c>
    </row>
    <row r="24" spans="1:6" x14ac:dyDescent="0.25">
      <c r="A24" s="75" t="s">
        <v>80</v>
      </c>
      <c r="B24" s="148" t="s">
        <v>58</v>
      </c>
      <c r="C24" s="150">
        <v>177</v>
      </c>
      <c r="D24" s="74">
        <f t="shared" si="0"/>
        <v>115.05</v>
      </c>
      <c r="E24" s="74">
        <f t="shared" si="1"/>
        <v>30.974999999999998</v>
      </c>
      <c r="F24" s="74">
        <f t="shared" si="2"/>
        <v>30.974999999999998</v>
      </c>
    </row>
    <row r="25" spans="1:6" x14ac:dyDescent="0.25">
      <c r="A25" s="75" t="s">
        <v>81</v>
      </c>
      <c r="B25" s="148" t="s">
        <v>59</v>
      </c>
      <c r="C25" s="150">
        <v>145</v>
      </c>
      <c r="D25" s="74">
        <f t="shared" si="0"/>
        <v>94.25</v>
      </c>
      <c r="E25" s="74">
        <f t="shared" si="1"/>
        <v>25.375</v>
      </c>
      <c r="F25" s="74">
        <f t="shared" si="2"/>
        <v>25.375</v>
      </c>
    </row>
    <row r="26" spans="1:6" x14ac:dyDescent="0.25">
      <c r="A26" s="75" t="s">
        <v>82</v>
      </c>
      <c r="B26" s="148" t="s">
        <v>83</v>
      </c>
      <c r="C26" s="150">
        <v>450</v>
      </c>
      <c r="D26" s="74">
        <f t="shared" si="0"/>
        <v>292.5</v>
      </c>
      <c r="E26" s="74">
        <f t="shared" si="1"/>
        <v>78.75</v>
      </c>
      <c r="F26" s="74">
        <f t="shared" si="2"/>
        <v>78.75</v>
      </c>
    </row>
    <row r="27" spans="1:6" x14ac:dyDescent="0.25">
      <c r="A27" s="75" t="s">
        <v>84</v>
      </c>
      <c r="B27" s="148" t="s">
        <v>59</v>
      </c>
      <c r="C27" s="150">
        <v>150</v>
      </c>
      <c r="D27" s="74">
        <f t="shared" si="0"/>
        <v>97.5</v>
      </c>
      <c r="E27" s="74">
        <f t="shared" si="1"/>
        <v>26.25</v>
      </c>
      <c r="F27" s="74">
        <f t="shared" si="2"/>
        <v>26.25</v>
      </c>
    </row>
    <row r="28" spans="1:6" x14ac:dyDescent="0.25">
      <c r="A28" s="75" t="s">
        <v>85</v>
      </c>
      <c r="B28" s="148" t="s">
        <v>58</v>
      </c>
      <c r="C28" s="150">
        <v>250</v>
      </c>
      <c r="D28" s="74">
        <f t="shared" si="0"/>
        <v>162.5</v>
      </c>
      <c r="E28" s="74">
        <f t="shared" si="1"/>
        <v>43.75</v>
      </c>
      <c r="F28" s="74">
        <f t="shared" si="2"/>
        <v>43.75</v>
      </c>
    </row>
    <row r="29" spans="1:6" x14ac:dyDescent="0.25">
      <c r="A29" s="75" t="s">
        <v>86</v>
      </c>
      <c r="B29" s="148" t="s">
        <v>58</v>
      </c>
      <c r="C29" s="150">
        <v>135</v>
      </c>
      <c r="D29" s="74">
        <f t="shared" si="0"/>
        <v>87.75</v>
      </c>
      <c r="E29" s="74">
        <f t="shared" si="1"/>
        <v>23.625</v>
      </c>
      <c r="F29" s="74">
        <f t="shared" si="2"/>
        <v>23.625</v>
      </c>
    </row>
    <row r="30" spans="1:6" x14ac:dyDescent="0.25">
      <c r="A30" s="75" t="s">
        <v>87</v>
      </c>
      <c r="B30" s="148" t="s">
        <v>59</v>
      </c>
      <c r="C30" s="150">
        <v>169</v>
      </c>
      <c r="D30" s="74">
        <f t="shared" si="0"/>
        <v>109.85000000000001</v>
      </c>
      <c r="E30" s="74">
        <f t="shared" si="1"/>
        <v>29.574999999999999</v>
      </c>
      <c r="F30" s="74">
        <f t="shared" si="2"/>
        <v>29.574999999999999</v>
      </c>
    </row>
    <row r="31" spans="1:6" x14ac:dyDescent="0.25">
      <c r="A31" s="75" t="s">
        <v>88</v>
      </c>
      <c r="B31" s="148" t="s">
        <v>59</v>
      </c>
      <c r="C31" s="150">
        <v>119</v>
      </c>
      <c r="D31" s="74">
        <f t="shared" si="0"/>
        <v>77.350000000000009</v>
      </c>
      <c r="E31" s="74">
        <f t="shared" si="1"/>
        <v>20.824999999999999</v>
      </c>
      <c r="F31" s="74">
        <f t="shared" si="2"/>
        <v>20.824999999999999</v>
      </c>
    </row>
    <row r="32" spans="1:6" x14ac:dyDescent="0.25">
      <c r="A32" s="75" t="s">
        <v>89</v>
      </c>
      <c r="B32" s="148" t="s">
        <v>59</v>
      </c>
      <c r="C32" s="150">
        <v>216</v>
      </c>
      <c r="D32" s="74">
        <f t="shared" si="0"/>
        <v>140.4</v>
      </c>
      <c r="E32" s="74">
        <f t="shared" si="1"/>
        <v>37.799999999999997</v>
      </c>
      <c r="F32" s="74">
        <f t="shared" si="2"/>
        <v>37.799999999999997</v>
      </c>
    </row>
    <row r="33" spans="1:6" x14ac:dyDescent="0.25">
      <c r="A33" s="75" t="s">
        <v>90</v>
      </c>
      <c r="B33" s="148" t="s">
        <v>91</v>
      </c>
      <c r="C33" s="150">
        <v>255</v>
      </c>
      <c r="D33" s="74">
        <f t="shared" si="0"/>
        <v>165.75</v>
      </c>
      <c r="E33" s="74">
        <f t="shared" si="1"/>
        <v>44.625</v>
      </c>
      <c r="F33" s="74">
        <f t="shared" si="2"/>
        <v>44.625</v>
      </c>
    </row>
    <row r="34" spans="1:6" x14ac:dyDescent="0.25">
      <c r="A34" s="75" t="s">
        <v>92</v>
      </c>
      <c r="B34" s="148" t="s">
        <v>59</v>
      </c>
      <c r="C34" s="150">
        <v>145</v>
      </c>
      <c r="D34" s="74">
        <f t="shared" si="0"/>
        <v>94.25</v>
      </c>
      <c r="E34" s="74">
        <f t="shared" si="1"/>
        <v>25.375</v>
      </c>
      <c r="F34" s="74">
        <f t="shared" si="2"/>
        <v>25.375</v>
      </c>
    </row>
    <row r="35" spans="1:6" x14ac:dyDescent="0.25">
      <c r="A35" s="75" t="s">
        <v>93</v>
      </c>
      <c r="B35" s="148" t="s">
        <v>59</v>
      </c>
      <c r="C35" s="150">
        <v>145</v>
      </c>
      <c r="D35" s="74">
        <f t="shared" si="0"/>
        <v>94.25</v>
      </c>
      <c r="E35" s="74">
        <f t="shared" si="1"/>
        <v>25.375</v>
      </c>
      <c r="F35" s="74">
        <f t="shared" si="2"/>
        <v>25.375</v>
      </c>
    </row>
    <row r="36" spans="1:6" x14ac:dyDescent="0.25">
      <c r="A36" s="75" t="s">
        <v>94</v>
      </c>
      <c r="B36" s="148" t="s">
        <v>59</v>
      </c>
      <c r="C36" s="150">
        <v>140</v>
      </c>
      <c r="D36" s="74">
        <f t="shared" si="0"/>
        <v>91</v>
      </c>
      <c r="E36" s="74">
        <f t="shared" si="1"/>
        <v>24.5</v>
      </c>
      <c r="F36" s="74">
        <f t="shared" si="2"/>
        <v>24.5</v>
      </c>
    </row>
    <row r="37" spans="1:6" x14ac:dyDescent="0.25">
      <c r="A37" s="75" t="s">
        <v>365</v>
      </c>
      <c r="B37" s="148" t="s">
        <v>58</v>
      </c>
      <c r="C37" s="150">
        <v>450</v>
      </c>
      <c r="D37" s="74">
        <f t="shared" si="0"/>
        <v>292.5</v>
      </c>
      <c r="E37" s="74">
        <f t="shared" si="1"/>
        <v>78.75</v>
      </c>
      <c r="F37" s="74">
        <f t="shared" si="2"/>
        <v>78.75</v>
      </c>
    </row>
    <row r="38" spans="1:6" x14ac:dyDescent="0.25">
      <c r="A38" s="75" t="s">
        <v>95</v>
      </c>
      <c r="B38" s="148" t="s">
        <v>58</v>
      </c>
      <c r="C38" s="150">
        <v>150</v>
      </c>
      <c r="D38" s="74">
        <f t="shared" si="0"/>
        <v>97.5</v>
      </c>
      <c r="E38" s="74">
        <f t="shared" si="1"/>
        <v>26.25</v>
      </c>
      <c r="F38" s="74">
        <f t="shared" si="2"/>
        <v>26.25</v>
      </c>
    </row>
    <row r="39" spans="1:6" x14ac:dyDescent="0.25">
      <c r="A39" s="75" t="s">
        <v>96</v>
      </c>
      <c r="B39" s="148" t="s">
        <v>59</v>
      </c>
      <c r="C39" s="151">
        <v>161</v>
      </c>
      <c r="D39" s="76">
        <f t="shared" si="0"/>
        <v>104.65</v>
      </c>
      <c r="E39" s="76">
        <f t="shared" si="1"/>
        <v>28.174999999999997</v>
      </c>
      <c r="F39" s="76">
        <f t="shared" si="2"/>
        <v>28.174999999999997</v>
      </c>
    </row>
    <row r="40" spans="1:6" x14ac:dyDescent="0.25">
      <c r="A40" s="75" t="s">
        <v>366</v>
      </c>
      <c r="B40" s="148" t="s">
        <v>97</v>
      </c>
      <c r="C40" s="151">
        <v>552</v>
      </c>
      <c r="D40" s="76">
        <f t="shared" si="0"/>
        <v>358.8</v>
      </c>
      <c r="E40" s="76">
        <f t="shared" si="1"/>
        <v>96.6</v>
      </c>
      <c r="F40" s="76">
        <f t="shared" si="2"/>
        <v>96.6</v>
      </c>
    </row>
    <row r="41" spans="1:6" x14ac:dyDescent="0.25">
      <c r="A41" s="75" t="s">
        <v>367</v>
      </c>
      <c r="B41" s="148" t="s">
        <v>97</v>
      </c>
      <c r="C41" s="150">
        <v>449</v>
      </c>
      <c r="D41" s="74">
        <f t="shared" si="0"/>
        <v>291.85000000000002</v>
      </c>
      <c r="E41" s="74">
        <f t="shared" si="1"/>
        <v>78.574999999999989</v>
      </c>
      <c r="F41" s="74">
        <f t="shared" si="2"/>
        <v>78.574999999999989</v>
      </c>
    </row>
    <row r="42" spans="1:6" x14ac:dyDescent="0.25">
      <c r="A42" s="75" t="s">
        <v>368</v>
      </c>
      <c r="B42" s="148" t="s">
        <v>97</v>
      </c>
      <c r="C42" s="150">
        <v>319</v>
      </c>
      <c r="D42" s="74">
        <f t="shared" si="0"/>
        <v>207.35</v>
      </c>
      <c r="E42" s="74">
        <f t="shared" si="1"/>
        <v>55.824999999999996</v>
      </c>
      <c r="F42" s="74">
        <f t="shared" si="2"/>
        <v>55.824999999999996</v>
      </c>
    </row>
    <row r="43" spans="1:6" x14ac:dyDescent="0.25">
      <c r="A43" s="75" t="s">
        <v>98</v>
      </c>
      <c r="B43" s="148" t="s">
        <v>99</v>
      </c>
      <c r="C43" s="150">
        <v>13575</v>
      </c>
      <c r="D43" s="74">
        <f t="shared" si="0"/>
        <v>8823.75</v>
      </c>
      <c r="E43" s="74">
        <f t="shared" si="1"/>
        <v>2375.625</v>
      </c>
      <c r="F43" s="74">
        <f t="shared" si="2"/>
        <v>2375.625</v>
      </c>
    </row>
    <row r="44" spans="1:6" x14ac:dyDescent="0.25">
      <c r="A44" s="75" t="s">
        <v>335</v>
      </c>
      <c r="B44" s="148" t="s">
        <v>100</v>
      </c>
      <c r="C44" s="150">
        <v>96000</v>
      </c>
      <c r="D44" s="74">
        <f t="shared" si="0"/>
        <v>62400</v>
      </c>
      <c r="E44" s="74">
        <f t="shared" si="1"/>
        <v>16800</v>
      </c>
      <c r="F44" s="74">
        <f t="shared" si="2"/>
        <v>16800</v>
      </c>
    </row>
    <row r="45" spans="1:6" x14ac:dyDescent="0.25">
      <c r="A45" s="75" t="s">
        <v>101</v>
      </c>
      <c r="B45" s="148" t="s">
        <v>58</v>
      </c>
      <c r="C45" s="150">
        <v>217</v>
      </c>
      <c r="D45" s="74">
        <f t="shared" si="0"/>
        <v>141.05000000000001</v>
      </c>
      <c r="E45" s="74">
        <f t="shared" si="1"/>
        <v>37.974999999999994</v>
      </c>
      <c r="F45" s="74">
        <f t="shared" si="2"/>
        <v>37.974999999999994</v>
      </c>
    </row>
    <row r="46" spans="1:6" x14ac:dyDescent="0.25">
      <c r="A46" s="75" t="s">
        <v>102</v>
      </c>
      <c r="B46" s="148" t="s">
        <v>103</v>
      </c>
      <c r="C46" s="151">
        <v>1.7</v>
      </c>
      <c r="D46" s="76">
        <f t="shared" si="0"/>
        <v>1.105</v>
      </c>
      <c r="E46" s="76">
        <f t="shared" si="1"/>
        <v>0.29749999999999999</v>
      </c>
      <c r="F46" s="76">
        <f t="shared" si="2"/>
        <v>0.29749999999999999</v>
      </c>
    </row>
    <row r="47" spans="1:6" x14ac:dyDescent="0.25">
      <c r="A47" s="75" t="s">
        <v>104</v>
      </c>
      <c r="B47" s="148" t="s">
        <v>59</v>
      </c>
      <c r="C47" s="150">
        <v>190</v>
      </c>
      <c r="D47" s="74">
        <f t="shared" si="0"/>
        <v>123.5</v>
      </c>
      <c r="E47" s="74">
        <f t="shared" si="1"/>
        <v>33.25</v>
      </c>
      <c r="F47" s="74">
        <f t="shared" si="2"/>
        <v>33.25</v>
      </c>
    </row>
    <row r="48" spans="1:6" x14ac:dyDescent="0.25">
      <c r="A48" s="75" t="s">
        <v>336</v>
      </c>
      <c r="B48" s="148" t="s">
        <v>58</v>
      </c>
      <c r="C48" s="150">
        <v>176</v>
      </c>
      <c r="D48" s="74">
        <f t="shared" si="0"/>
        <v>114.4</v>
      </c>
      <c r="E48" s="74">
        <f t="shared" si="1"/>
        <v>30.799999999999997</v>
      </c>
      <c r="F48" s="74">
        <f t="shared" si="2"/>
        <v>30.799999999999997</v>
      </c>
    </row>
    <row r="49" spans="1:6" x14ac:dyDescent="0.25">
      <c r="A49" s="75" t="s">
        <v>105</v>
      </c>
      <c r="B49" s="148" t="s">
        <v>59</v>
      </c>
      <c r="C49" s="150">
        <v>150</v>
      </c>
      <c r="D49" s="74">
        <f t="shared" si="0"/>
        <v>97.5</v>
      </c>
      <c r="E49" s="74">
        <f t="shared" si="1"/>
        <v>26.25</v>
      </c>
      <c r="F49" s="74">
        <f t="shared" si="2"/>
        <v>26.25</v>
      </c>
    </row>
    <row r="50" spans="1:6" x14ac:dyDescent="0.25">
      <c r="A50" s="75" t="s">
        <v>369</v>
      </c>
      <c r="B50" s="148" t="s">
        <v>100</v>
      </c>
      <c r="C50" s="150">
        <v>120000</v>
      </c>
      <c r="D50" s="74">
        <f t="shared" si="0"/>
        <v>78000</v>
      </c>
      <c r="E50" s="74">
        <f t="shared" si="1"/>
        <v>21000</v>
      </c>
      <c r="F50" s="74">
        <f t="shared" si="2"/>
        <v>21000</v>
      </c>
    </row>
    <row r="51" spans="1:6" x14ac:dyDescent="0.25">
      <c r="A51" s="75" t="s">
        <v>370</v>
      </c>
      <c r="B51" s="148" t="s">
        <v>59</v>
      </c>
      <c r="C51" s="150">
        <v>240</v>
      </c>
      <c r="D51" s="74">
        <f t="shared" si="0"/>
        <v>156</v>
      </c>
      <c r="E51" s="74">
        <f t="shared" si="1"/>
        <v>42</v>
      </c>
      <c r="F51" s="74">
        <f t="shared" si="2"/>
        <v>42</v>
      </c>
    </row>
    <row r="52" spans="1:6" x14ac:dyDescent="0.25">
      <c r="A52" s="75" t="s">
        <v>371</v>
      </c>
      <c r="B52" s="148" t="s">
        <v>106</v>
      </c>
      <c r="C52" s="151">
        <v>400</v>
      </c>
      <c r="D52" s="76">
        <f t="shared" si="0"/>
        <v>260</v>
      </c>
      <c r="E52" s="76">
        <f t="shared" si="1"/>
        <v>70</v>
      </c>
      <c r="F52" s="76">
        <f t="shared" si="2"/>
        <v>70</v>
      </c>
    </row>
    <row r="53" spans="1:6" x14ac:dyDescent="0.25">
      <c r="A53" s="75" t="s">
        <v>107</v>
      </c>
      <c r="B53" s="148" t="s">
        <v>58</v>
      </c>
      <c r="C53" s="150">
        <v>272</v>
      </c>
      <c r="D53" s="74">
        <f t="shared" si="0"/>
        <v>176.8</v>
      </c>
      <c r="E53" s="74">
        <f t="shared" si="1"/>
        <v>47.599999999999994</v>
      </c>
      <c r="F53" s="74">
        <f t="shared" si="2"/>
        <v>47.599999999999994</v>
      </c>
    </row>
    <row r="54" spans="1:6" x14ac:dyDescent="0.25">
      <c r="A54" s="75" t="s">
        <v>108</v>
      </c>
      <c r="B54" s="148" t="s">
        <v>59</v>
      </c>
      <c r="C54" s="150">
        <v>210</v>
      </c>
      <c r="D54" s="74">
        <f t="shared" si="0"/>
        <v>136.5</v>
      </c>
      <c r="E54" s="74">
        <f t="shared" si="1"/>
        <v>36.75</v>
      </c>
      <c r="F54" s="74">
        <f t="shared" si="2"/>
        <v>36.75</v>
      </c>
    </row>
    <row r="55" spans="1:6" x14ac:dyDescent="0.25">
      <c r="A55" s="75" t="s">
        <v>109</v>
      </c>
      <c r="B55" s="148" t="s">
        <v>58</v>
      </c>
      <c r="C55" s="150">
        <v>169</v>
      </c>
      <c r="D55" s="74">
        <f t="shared" si="0"/>
        <v>109.85000000000001</v>
      </c>
      <c r="E55" s="74">
        <f t="shared" si="1"/>
        <v>29.574999999999999</v>
      </c>
      <c r="F55" s="74">
        <f t="shared" si="2"/>
        <v>29.574999999999999</v>
      </c>
    </row>
    <row r="56" spans="1:6" x14ac:dyDescent="0.25">
      <c r="A56" s="75" t="s">
        <v>337</v>
      </c>
      <c r="B56" s="148" t="s">
        <v>100</v>
      </c>
      <c r="C56" s="151">
        <v>137000</v>
      </c>
      <c r="D56" s="76">
        <f t="shared" si="0"/>
        <v>89050</v>
      </c>
      <c r="E56" s="76">
        <f t="shared" si="1"/>
        <v>23975</v>
      </c>
      <c r="F56" s="76">
        <f t="shared" si="2"/>
        <v>23975</v>
      </c>
    </row>
    <row r="57" spans="1:6" x14ac:dyDescent="0.25">
      <c r="A57" s="75" t="s">
        <v>110</v>
      </c>
      <c r="B57" s="148" t="s">
        <v>59</v>
      </c>
      <c r="C57" s="151">
        <v>142</v>
      </c>
      <c r="D57" s="76">
        <f t="shared" si="0"/>
        <v>92.3</v>
      </c>
      <c r="E57" s="76">
        <f t="shared" si="1"/>
        <v>24.849999999999998</v>
      </c>
      <c r="F57" s="76">
        <f t="shared" si="2"/>
        <v>24.849999999999998</v>
      </c>
    </row>
    <row r="58" spans="1:6" x14ac:dyDescent="0.25">
      <c r="A58" s="75" t="s">
        <v>111</v>
      </c>
      <c r="B58" s="148" t="s">
        <v>59</v>
      </c>
      <c r="C58" s="150">
        <v>200</v>
      </c>
      <c r="D58" s="74">
        <f t="shared" si="0"/>
        <v>130</v>
      </c>
      <c r="E58" s="74">
        <f t="shared" si="1"/>
        <v>35</v>
      </c>
      <c r="F58" s="74">
        <f t="shared" si="2"/>
        <v>35</v>
      </c>
    </row>
    <row r="59" spans="1:6" x14ac:dyDescent="0.25">
      <c r="A59" s="75" t="s">
        <v>112</v>
      </c>
      <c r="B59" s="148" t="s">
        <v>58</v>
      </c>
      <c r="C59" s="150">
        <v>150</v>
      </c>
      <c r="D59" s="74">
        <f t="shared" si="0"/>
        <v>97.5</v>
      </c>
      <c r="E59" s="74">
        <f t="shared" si="1"/>
        <v>26.25</v>
      </c>
      <c r="F59" s="74">
        <f t="shared" si="2"/>
        <v>26.25</v>
      </c>
    </row>
    <row r="60" spans="1:6" x14ac:dyDescent="0.25">
      <c r="A60" s="75" t="s">
        <v>113</v>
      </c>
      <c r="B60" s="148" t="s">
        <v>114</v>
      </c>
      <c r="C60" s="150">
        <v>1660</v>
      </c>
      <c r="D60" s="74">
        <f t="shared" si="0"/>
        <v>1079</v>
      </c>
      <c r="E60" s="74">
        <f t="shared" si="1"/>
        <v>290.5</v>
      </c>
      <c r="F60" s="74">
        <f t="shared" si="2"/>
        <v>290.5</v>
      </c>
    </row>
    <row r="61" spans="1:6" x14ac:dyDescent="0.25">
      <c r="A61" s="75" t="s">
        <v>115</v>
      </c>
      <c r="B61" s="148" t="s">
        <v>116</v>
      </c>
      <c r="C61" s="150">
        <v>36320</v>
      </c>
      <c r="D61" s="74">
        <f t="shared" si="0"/>
        <v>23608</v>
      </c>
      <c r="E61" s="74">
        <f t="shared" si="1"/>
        <v>6356</v>
      </c>
      <c r="F61" s="74">
        <f t="shared" si="2"/>
        <v>6356</v>
      </c>
    </row>
    <row r="62" spans="1:6" x14ac:dyDescent="0.25">
      <c r="A62" s="75" t="s">
        <v>372</v>
      </c>
      <c r="B62" s="148" t="s">
        <v>58</v>
      </c>
      <c r="C62" s="150">
        <v>142</v>
      </c>
      <c r="D62" s="74">
        <f t="shared" si="0"/>
        <v>92.3</v>
      </c>
      <c r="E62" s="74">
        <f t="shared" si="1"/>
        <v>24.849999999999998</v>
      </c>
      <c r="F62" s="74">
        <f t="shared" si="2"/>
        <v>24.849999999999998</v>
      </c>
    </row>
    <row r="63" spans="1:6" x14ac:dyDescent="0.25">
      <c r="A63" s="75" t="s">
        <v>373</v>
      </c>
      <c r="B63" s="148" t="s">
        <v>58</v>
      </c>
      <c r="C63" s="150">
        <v>266</v>
      </c>
      <c r="D63" s="74">
        <f t="shared" si="0"/>
        <v>172.9</v>
      </c>
      <c r="E63" s="74">
        <f t="shared" si="1"/>
        <v>46.55</v>
      </c>
      <c r="F63" s="74">
        <f t="shared" si="2"/>
        <v>46.55</v>
      </c>
    </row>
    <row r="64" spans="1:6" x14ac:dyDescent="0.25">
      <c r="A64" s="75" t="s">
        <v>117</v>
      </c>
      <c r="B64" s="148" t="s">
        <v>59</v>
      </c>
      <c r="C64" s="150">
        <v>148</v>
      </c>
      <c r="D64" s="74">
        <f t="shared" ref="D64:D127" si="3">C64*0.65</f>
        <v>96.2</v>
      </c>
      <c r="E64" s="74">
        <f t="shared" ref="E64:E127" si="4">C64*0.175</f>
        <v>25.9</v>
      </c>
      <c r="F64" s="74">
        <f t="shared" ref="F64:F127" si="5">C64*0.175</f>
        <v>25.9</v>
      </c>
    </row>
    <row r="65" spans="1:6" x14ac:dyDescent="0.25">
      <c r="A65" s="75" t="s">
        <v>118</v>
      </c>
      <c r="B65" s="148" t="s">
        <v>59</v>
      </c>
      <c r="C65" s="150">
        <v>300</v>
      </c>
      <c r="D65" s="74">
        <f t="shared" si="3"/>
        <v>195</v>
      </c>
      <c r="E65" s="74">
        <f t="shared" si="4"/>
        <v>52.5</v>
      </c>
      <c r="F65" s="74">
        <f t="shared" si="5"/>
        <v>52.5</v>
      </c>
    </row>
    <row r="66" spans="1:6" x14ac:dyDescent="0.25">
      <c r="A66" s="75" t="s">
        <v>119</v>
      </c>
      <c r="B66" s="148" t="s">
        <v>58</v>
      </c>
      <c r="C66" s="150">
        <v>150</v>
      </c>
      <c r="D66" s="74">
        <f t="shared" si="3"/>
        <v>97.5</v>
      </c>
      <c r="E66" s="74">
        <f t="shared" si="4"/>
        <v>26.25</v>
      </c>
      <c r="F66" s="74">
        <f t="shared" si="5"/>
        <v>26.25</v>
      </c>
    </row>
    <row r="67" spans="1:6" x14ac:dyDescent="0.25">
      <c r="A67" s="75" t="s">
        <v>120</v>
      </c>
      <c r="B67" s="148" t="s">
        <v>58</v>
      </c>
      <c r="C67" s="150">
        <v>195</v>
      </c>
      <c r="D67" s="74">
        <f t="shared" si="3"/>
        <v>126.75</v>
      </c>
      <c r="E67" s="74">
        <f t="shared" si="4"/>
        <v>34.125</v>
      </c>
      <c r="F67" s="74">
        <f t="shared" si="5"/>
        <v>34.125</v>
      </c>
    </row>
    <row r="68" spans="1:6" x14ac:dyDescent="0.25">
      <c r="A68" s="75" t="s">
        <v>121</v>
      </c>
      <c r="B68" s="148" t="s">
        <v>59</v>
      </c>
      <c r="C68" s="150">
        <v>212</v>
      </c>
      <c r="D68" s="74">
        <f t="shared" si="3"/>
        <v>137.80000000000001</v>
      </c>
      <c r="E68" s="74">
        <f t="shared" si="4"/>
        <v>37.099999999999994</v>
      </c>
      <c r="F68" s="74">
        <f t="shared" si="5"/>
        <v>37.099999999999994</v>
      </c>
    </row>
    <row r="69" spans="1:6" x14ac:dyDescent="0.25">
      <c r="A69" s="75" t="s">
        <v>122</v>
      </c>
      <c r="B69" s="148" t="s">
        <v>59</v>
      </c>
      <c r="C69" s="150">
        <v>129</v>
      </c>
      <c r="D69" s="74">
        <f t="shared" si="3"/>
        <v>83.850000000000009</v>
      </c>
      <c r="E69" s="74">
        <f t="shared" si="4"/>
        <v>22.574999999999999</v>
      </c>
      <c r="F69" s="74">
        <f t="shared" si="5"/>
        <v>22.574999999999999</v>
      </c>
    </row>
    <row r="70" spans="1:6" x14ac:dyDescent="0.25">
      <c r="A70" s="75" t="s">
        <v>123</v>
      </c>
      <c r="B70" s="148" t="s">
        <v>58</v>
      </c>
      <c r="C70" s="150">
        <v>360</v>
      </c>
      <c r="D70" s="74">
        <f t="shared" si="3"/>
        <v>234</v>
      </c>
      <c r="E70" s="74">
        <f t="shared" si="4"/>
        <v>62.999999999999993</v>
      </c>
      <c r="F70" s="74">
        <f t="shared" si="5"/>
        <v>62.999999999999993</v>
      </c>
    </row>
    <row r="71" spans="1:6" x14ac:dyDescent="0.25">
      <c r="A71" s="75" t="s">
        <v>124</v>
      </c>
      <c r="B71" s="148" t="s">
        <v>58</v>
      </c>
      <c r="C71" s="150">
        <v>360</v>
      </c>
      <c r="D71" s="74">
        <f t="shared" si="3"/>
        <v>234</v>
      </c>
      <c r="E71" s="74">
        <f t="shared" si="4"/>
        <v>62.999999999999993</v>
      </c>
      <c r="F71" s="74">
        <f t="shared" si="5"/>
        <v>62.999999999999993</v>
      </c>
    </row>
    <row r="72" spans="1:6" x14ac:dyDescent="0.25">
      <c r="A72" s="75" t="s">
        <v>125</v>
      </c>
      <c r="B72" s="148" t="s">
        <v>58</v>
      </c>
      <c r="C72" s="151">
        <v>490</v>
      </c>
      <c r="D72" s="76">
        <f t="shared" si="3"/>
        <v>318.5</v>
      </c>
      <c r="E72" s="76">
        <f t="shared" si="4"/>
        <v>85.75</v>
      </c>
      <c r="F72" s="76">
        <f t="shared" si="5"/>
        <v>85.75</v>
      </c>
    </row>
    <row r="73" spans="1:6" x14ac:dyDescent="0.25">
      <c r="A73" s="75" t="s">
        <v>126</v>
      </c>
      <c r="B73" s="148" t="s">
        <v>59</v>
      </c>
      <c r="C73" s="151">
        <v>123</v>
      </c>
      <c r="D73" s="76">
        <f t="shared" si="3"/>
        <v>79.95</v>
      </c>
      <c r="E73" s="76">
        <f t="shared" si="4"/>
        <v>21.524999999999999</v>
      </c>
      <c r="F73" s="76">
        <f t="shared" si="5"/>
        <v>21.524999999999999</v>
      </c>
    </row>
    <row r="74" spans="1:6" x14ac:dyDescent="0.25">
      <c r="A74" s="75" t="s">
        <v>127</v>
      </c>
      <c r="B74" s="148" t="s">
        <v>128</v>
      </c>
      <c r="C74" s="150">
        <v>421</v>
      </c>
      <c r="D74" s="74">
        <f t="shared" si="3"/>
        <v>273.65000000000003</v>
      </c>
      <c r="E74" s="74">
        <f t="shared" si="4"/>
        <v>73.674999999999997</v>
      </c>
      <c r="F74" s="74">
        <f t="shared" si="5"/>
        <v>73.674999999999997</v>
      </c>
    </row>
    <row r="75" spans="1:6" x14ac:dyDescent="0.25">
      <c r="A75" s="75" t="s">
        <v>129</v>
      </c>
      <c r="B75" s="148" t="s">
        <v>59</v>
      </c>
      <c r="C75" s="150">
        <v>220</v>
      </c>
      <c r="D75" s="74">
        <f t="shared" si="3"/>
        <v>143</v>
      </c>
      <c r="E75" s="74">
        <f t="shared" si="4"/>
        <v>38.5</v>
      </c>
      <c r="F75" s="74">
        <f t="shared" si="5"/>
        <v>38.5</v>
      </c>
    </row>
    <row r="76" spans="1:6" x14ac:dyDescent="0.25">
      <c r="A76" s="75" t="s">
        <v>130</v>
      </c>
      <c r="B76" s="148" t="s">
        <v>100</v>
      </c>
      <c r="C76" s="150">
        <v>140000</v>
      </c>
      <c r="D76" s="74">
        <f t="shared" si="3"/>
        <v>91000</v>
      </c>
      <c r="E76" s="74">
        <f t="shared" si="4"/>
        <v>24500</v>
      </c>
      <c r="F76" s="74">
        <f t="shared" si="5"/>
        <v>24500</v>
      </c>
    </row>
    <row r="77" spans="1:6" x14ac:dyDescent="0.25">
      <c r="A77" s="75" t="s">
        <v>131</v>
      </c>
      <c r="B77" s="148" t="s">
        <v>132</v>
      </c>
      <c r="C77" s="150">
        <v>8590</v>
      </c>
      <c r="D77" s="74">
        <f t="shared" si="3"/>
        <v>5583.5</v>
      </c>
      <c r="E77" s="74">
        <f t="shared" si="4"/>
        <v>1503.25</v>
      </c>
      <c r="F77" s="74">
        <f t="shared" si="5"/>
        <v>1503.25</v>
      </c>
    </row>
    <row r="78" spans="1:6" x14ac:dyDescent="0.25">
      <c r="A78" s="75" t="s">
        <v>133</v>
      </c>
      <c r="B78" s="148" t="s">
        <v>58</v>
      </c>
      <c r="C78" s="150">
        <v>195</v>
      </c>
      <c r="D78" s="74">
        <f t="shared" si="3"/>
        <v>126.75</v>
      </c>
      <c r="E78" s="74">
        <f t="shared" si="4"/>
        <v>34.125</v>
      </c>
      <c r="F78" s="74">
        <f t="shared" si="5"/>
        <v>34.125</v>
      </c>
    </row>
    <row r="79" spans="1:6" x14ac:dyDescent="0.25">
      <c r="A79" s="75" t="s">
        <v>134</v>
      </c>
      <c r="B79" s="148" t="s">
        <v>58</v>
      </c>
      <c r="C79" s="150">
        <v>250</v>
      </c>
      <c r="D79" s="74">
        <f t="shared" si="3"/>
        <v>162.5</v>
      </c>
      <c r="E79" s="74">
        <f t="shared" si="4"/>
        <v>43.75</v>
      </c>
      <c r="F79" s="74">
        <f t="shared" si="5"/>
        <v>43.75</v>
      </c>
    </row>
    <row r="80" spans="1:6" x14ac:dyDescent="0.25">
      <c r="A80" s="75" t="s">
        <v>135</v>
      </c>
      <c r="B80" s="148" t="s">
        <v>136</v>
      </c>
      <c r="C80" s="150">
        <v>210</v>
      </c>
      <c r="D80" s="74">
        <f t="shared" si="3"/>
        <v>136.5</v>
      </c>
      <c r="E80" s="74">
        <f t="shared" si="4"/>
        <v>36.75</v>
      </c>
      <c r="F80" s="74">
        <f t="shared" si="5"/>
        <v>36.75</v>
      </c>
    </row>
    <row r="81" spans="1:6" x14ac:dyDescent="0.25">
      <c r="A81" s="75" t="s">
        <v>137</v>
      </c>
      <c r="B81" s="148" t="s">
        <v>59</v>
      </c>
      <c r="C81" s="150">
        <v>167</v>
      </c>
      <c r="D81" s="74">
        <f t="shared" si="3"/>
        <v>108.55</v>
      </c>
      <c r="E81" s="74">
        <f t="shared" si="4"/>
        <v>29.224999999999998</v>
      </c>
      <c r="F81" s="74">
        <f t="shared" si="5"/>
        <v>29.224999999999998</v>
      </c>
    </row>
    <row r="82" spans="1:6" x14ac:dyDescent="0.25">
      <c r="A82" s="75" t="s">
        <v>138</v>
      </c>
      <c r="B82" s="148" t="s">
        <v>58</v>
      </c>
      <c r="C82" s="151">
        <v>283</v>
      </c>
      <c r="D82" s="76">
        <f t="shared" si="3"/>
        <v>183.95000000000002</v>
      </c>
      <c r="E82" s="76">
        <f t="shared" si="4"/>
        <v>49.524999999999999</v>
      </c>
      <c r="F82" s="76">
        <f t="shared" si="5"/>
        <v>49.524999999999999</v>
      </c>
    </row>
    <row r="83" spans="1:6" x14ac:dyDescent="0.25">
      <c r="A83" s="75" t="s">
        <v>139</v>
      </c>
      <c r="B83" s="148" t="s">
        <v>59</v>
      </c>
      <c r="C83" s="150">
        <v>160</v>
      </c>
      <c r="D83" s="74">
        <f t="shared" si="3"/>
        <v>104</v>
      </c>
      <c r="E83" s="74">
        <f t="shared" si="4"/>
        <v>28</v>
      </c>
      <c r="F83" s="74">
        <f t="shared" si="5"/>
        <v>28</v>
      </c>
    </row>
    <row r="84" spans="1:6" x14ac:dyDescent="0.25">
      <c r="A84" s="75" t="s">
        <v>140</v>
      </c>
      <c r="B84" s="148" t="s">
        <v>59</v>
      </c>
      <c r="C84" s="150">
        <v>170</v>
      </c>
      <c r="D84" s="74">
        <f t="shared" si="3"/>
        <v>110.5</v>
      </c>
      <c r="E84" s="74">
        <f t="shared" si="4"/>
        <v>29.749999999999996</v>
      </c>
      <c r="F84" s="74">
        <f t="shared" si="5"/>
        <v>29.749999999999996</v>
      </c>
    </row>
    <row r="85" spans="1:6" x14ac:dyDescent="0.25">
      <c r="A85" s="75" t="s">
        <v>141</v>
      </c>
      <c r="B85" s="148" t="s">
        <v>59</v>
      </c>
      <c r="C85" s="150">
        <v>169</v>
      </c>
      <c r="D85" s="74">
        <f t="shared" si="3"/>
        <v>109.85000000000001</v>
      </c>
      <c r="E85" s="74">
        <f t="shared" si="4"/>
        <v>29.574999999999999</v>
      </c>
      <c r="F85" s="74">
        <f t="shared" si="5"/>
        <v>29.574999999999999</v>
      </c>
    </row>
    <row r="86" spans="1:6" x14ac:dyDescent="0.25">
      <c r="A86" s="75" t="s">
        <v>142</v>
      </c>
      <c r="B86" s="148" t="s">
        <v>100</v>
      </c>
      <c r="C86" s="151">
        <v>90500</v>
      </c>
      <c r="D86" s="76">
        <f t="shared" si="3"/>
        <v>58825</v>
      </c>
      <c r="E86" s="76">
        <f t="shared" si="4"/>
        <v>15837.499999999998</v>
      </c>
      <c r="F86" s="76">
        <f t="shared" si="5"/>
        <v>15837.499999999998</v>
      </c>
    </row>
    <row r="87" spans="1:6" x14ac:dyDescent="0.25">
      <c r="A87" s="75" t="s">
        <v>143</v>
      </c>
      <c r="B87" s="148" t="s">
        <v>58</v>
      </c>
      <c r="C87" s="150">
        <v>200</v>
      </c>
      <c r="D87" s="74">
        <f t="shared" si="3"/>
        <v>130</v>
      </c>
      <c r="E87" s="74">
        <f t="shared" si="4"/>
        <v>35</v>
      </c>
      <c r="F87" s="74">
        <f t="shared" si="5"/>
        <v>35</v>
      </c>
    </row>
    <row r="88" spans="1:6" x14ac:dyDescent="0.25">
      <c r="A88" s="75" t="s">
        <v>144</v>
      </c>
      <c r="B88" s="148" t="s">
        <v>58</v>
      </c>
      <c r="C88" s="150">
        <v>220</v>
      </c>
      <c r="D88" s="74">
        <f t="shared" si="3"/>
        <v>143</v>
      </c>
      <c r="E88" s="74">
        <f t="shared" si="4"/>
        <v>38.5</v>
      </c>
      <c r="F88" s="74">
        <f t="shared" si="5"/>
        <v>38.5</v>
      </c>
    </row>
    <row r="89" spans="1:6" x14ac:dyDescent="0.25">
      <c r="A89" s="75" t="s">
        <v>145</v>
      </c>
      <c r="B89" s="148" t="s">
        <v>58</v>
      </c>
      <c r="C89" s="150">
        <v>152</v>
      </c>
      <c r="D89" s="74">
        <f t="shared" si="3"/>
        <v>98.8</v>
      </c>
      <c r="E89" s="74">
        <f t="shared" si="4"/>
        <v>26.599999999999998</v>
      </c>
      <c r="F89" s="74">
        <f t="shared" si="5"/>
        <v>26.599999999999998</v>
      </c>
    </row>
    <row r="90" spans="1:6" x14ac:dyDescent="0.25">
      <c r="A90" s="75" t="s">
        <v>146</v>
      </c>
      <c r="B90" s="148" t="s">
        <v>147</v>
      </c>
      <c r="C90" s="150">
        <v>2200</v>
      </c>
      <c r="D90" s="74">
        <f t="shared" si="3"/>
        <v>1430</v>
      </c>
      <c r="E90" s="74">
        <f t="shared" si="4"/>
        <v>385</v>
      </c>
      <c r="F90" s="74">
        <f t="shared" si="5"/>
        <v>385</v>
      </c>
    </row>
    <row r="91" spans="1:6" x14ac:dyDescent="0.25">
      <c r="A91" s="75" t="s">
        <v>148</v>
      </c>
      <c r="B91" s="148" t="s">
        <v>59</v>
      </c>
      <c r="C91" s="150">
        <v>175</v>
      </c>
      <c r="D91" s="74">
        <f t="shared" si="3"/>
        <v>113.75</v>
      </c>
      <c r="E91" s="74">
        <f t="shared" si="4"/>
        <v>30.624999999999996</v>
      </c>
      <c r="F91" s="74">
        <f t="shared" si="5"/>
        <v>30.624999999999996</v>
      </c>
    </row>
    <row r="92" spans="1:6" x14ac:dyDescent="0.25">
      <c r="A92" s="75" t="s">
        <v>149</v>
      </c>
      <c r="B92" s="148" t="s">
        <v>59</v>
      </c>
      <c r="C92" s="150">
        <v>210</v>
      </c>
      <c r="D92" s="74">
        <f t="shared" si="3"/>
        <v>136.5</v>
      </c>
      <c r="E92" s="74">
        <f t="shared" si="4"/>
        <v>36.75</v>
      </c>
      <c r="F92" s="74">
        <f t="shared" si="5"/>
        <v>36.75</v>
      </c>
    </row>
    <row r="93" spans="1:6" x14ac:dyDescent="0.25">
      <c r="A93" s="75" t="s">
        <v>150</v>
      </c>
      <c r="B93" s="148" t="s">
        <v>59</v>
      </c>
      <c r="C93" s="151">
        <v>160</v>
      </c>
      <c r="D93" s="76">
        <f t="shared" si="3"/>
        <v>104</v>
      </c>
      <c r="E93" s="76">
        <f t="shared" si="4"/>
        <v>28</v>
      </c>
      <c r="F93" s="76">
        <f t="shared" si="5"/>
        <v>28</v>
      </c>
    </row>
    <row r="94" spans="1:6" x14ac:dyDescent="0.25">
      <c r="A94" s="75" t="s">
        <v>151</v>
      </c>
      <c r="B94" s="148" t="s">
        <v>58</v>
      </c>
      <c r="C94" s="150">
        <v>186</v>
      </c>
      <c r="D94" s="74">
        <f t="shared" si="3"/>
        <v>120.9</v>
      </c>
      <c r="E94" s="74">
        <f t="shared" si="4"/>
        <v>32.549999999999997</v>
      </c>
      <c r="F94" s="74">
        <f t="shared" si="5"/>
        <v>32.549999999999997</v>
      </c>
    </row>
    <row r="95" spans="1:6" x14ac:dyDescent="0.25">
      <c r="A95" s="75" t="s">
        <v>152</v>
      </c>
      <c r="B95" s="148" t="s">
        <v>59</v>
      </c>
      <c r="C95" s="150">
        <v>300</v>
      </c>
      <c r="D95" s="74">
        <f t="shared" si="3"/>
        <v>195</v>
      </c>
      <c r="E95" s="74">
        <f t="shared" si="4"/>
        <v>52.5</v>
      </c>
      <c r="F95" s="74">
        <f t="shared" si="5"/>
        <v>52.5</v>
      </c>
    </row>
    <row r="96" spans="1:6" x14ac:dyDescent="0.25">
      <c r="A96" s="75" t="s">
        <v>153</v>
      </c>
      <c r="B96" s="148" t="s">
        <v>59</v>
      </c>
      <c r="C96" s="150">
        <v>190</v>
      </c>
      <c r="D96" s="74">
        <f t="shared" si="3"/>
        <v>123.5</v>
      </c>
      <c r="E96" s="74">
        <f t="shared" si="4"/>
        <v>33.25</v>
      </c>
      <c r="F96" s="74">
        <f t="shared" si="5"/>
        <v>33.25</v>
      </c>
    </row>
    <row r="97" spans="1:6" x14ac:dyDescent="0.25">
      <c r="A97" s="75" t="s">
        <v>154</v>
      </c>
      <c r="B97" s="148" t="s">
        <v>155</v>
      </c>
      <c r="C97" s="151">
        <v>34397</v>
      </c>
      <c r="D97" s="76">
        <f t="shared" si="3"/>
        <v>22358.05</v>
      </c>
      <c r="E97" s="76">
        <f t="shared" si="4"/>
        <v>6019.4749999999995</v>
      </c>
      <c r="F97" s="76">
        <f t="shared" si="5"/>
        <v>6019.4749999999995</v>
      </c>
    </row>
    <row r="98" spans="1:6" x14ac:dyDescent="0.25">
      <c r="A98" s="75" t="s">
        <v>156</v>
      </c>
      <c r="B98" s="148" t="s">
        <v>59</v>
      </c>
      <c r="C98" s="151">
        <v>230</v>
      </c>
      <c r="D98" s="76">
        <f t="shared" si="3"/>
        <v>149.5</v>
      </c>
      <c r="E98" s="76">
        <f t="shared" si="4"/>
        <v>40.25</v>
      </c>
      <c r="F98" s="76">
        <f t="shared" si="5"/>
        <v>40.25</v>
      </c>
    </row>
    <row r="99" spans="1:6" x14ac:dyDescent="0.25">
      <c r="A99" s="75" t="s">
        <v>157</v>
      </c>
      <c r="B99" s="148" t="s">
        <v>59</v>
      </c>
      <c r="C99" s="150">
        <v>220</v>
      </c>
      <c r="D99" s="74">
        <f t="shared" si="3"/>
        <v>143</v>
      </c>
      <c r="E99" s="74">
        <f t="shared" si="4"/>
        <v>38.5</v>
      </c>
      <c r="F99" s="74">
        <f t="shared" si="5"/>
        <v>38.5</v>
      </c>
    </row>
    <row r="100" spans="1:6" x14ac:dyDescent="0.25">
      <c r="A100" s="75" t="s">
        <v>158</v>
      </c>
      <c r="B100" s="148" t="s">
        <v>58</v>
      </c>
      <c r="C100" s="150">
        <v>217</v>
      </c>
      <c r="D100" s="74">
        <f t="shared" si="3"/>
        <v>141.05000000000001</v>
      </c>
      <c r="E100" s="74">
        <f t="shared" si="4"/>
        <v>37.974999999999994</v>
      </c>
      <c r="F100" s="74">
        <f t="shared" si="5"/>
        <v>37.974999999999994</v>
      </c>
    </row>
    <row r="101" spans="1:6" x14ac:dyDescent="0.25">
      <c r="A101" s="75" t="s">
        <v>374</v>
      </c>
      <c r="B101" s="148" t="s">
        <v>159</v>
      </c>
      <c r="C101" s="150">
        <v>25500</v>
      </c>
      <c r="D101" s="74">
        <f t="shared" si="3"/>
        <v>16575</v>
      </c>
      <c r="E101" s="74">
        <f t="shared" si="4"/>
        <v>4462.5</v>
      </c>
      <c r="F101" s="74">
        <f t="shared" si="5"/>
        <v>4462.5</v>
      </c>
    </row>
    <row r="102" spans="1:6" x14ac:dyDescent="0.25">
      <c r="A102" s="75" t="s">
        <v>375</v>
      </c>
      <c r="B102" s="148" t="s">
        <v>159</v>
      </c>
      <c r="C102" s="150">
        <v>30000</v>
      </c>
      <c r="D102" s="74">
        <f t="shared" si="3"/>
        <v>19500</v>
      </c>
      <c r="E102" s="74">
        <f t="shared" si="4"/>
        <v>5250</v>
      </c>
      <c r="F102" s="74">
        <f t="shared" si="5"/>
        <v>5250</v>
      </c>
    </row>
    <row r="103" spans="1:6" x14ac:dyDescent="0.25">
      <c r="A103" s="75" t="s">
        <v>160</v>
      </c>
      <c r="B103" s="148" t="s">
        <v>161</v>
      </c>
      <c r="C103" s="150">
        <v>151</v>
      </c>
      <c r="D103" s="74">
        <f t="shared" si="3"/>
        <v>98.15</v>
      </c>
      <c r="E103" s="74">
        <f t="shared" si="4"/>
        <v>26.424999999999997</v>
      </c>
      <c r="F103" s="74">
        <f t="shared" si="5"/>
        <v>26.424999999999997</v>
      </c>
    </row>
    <row r="104" spans="1:6" x14ac:dyDescent="0.25">
      <c r="A104" s="77" t="s">
        <v>162</v>
      </c>
      <c r="B104" s="148" t="s">
        <v>59</v>
      </c>
      <c r="C104" s="150">
        <v>188</v>
      </c>
      <c r="D104" s="74">
        <f t="shared" si="3"/>
        <v>122.2</v>
      </c>
      <c r="E104" s="74">
        <f t="shared" si="4"/>
        <v>32.9</v>
      </c>
      <c r="F104" s="74">
        <f t="shared" si="5"/>
        <v>32.9</v>
      </c>
    </row>
    <row r="105" spans="1:6" x14ac:dyDescent="0.25">
      <c r="A105" s="75" t="s">
        <v>163</v>
      </c>
      <c r="B105" s="148" t="s">
        <v>58</v>
      </c>
      <c r="C105" s="150">
        <v>141</v>
      </c>
      <c r="D105" s="74">
        <f t="shared" si="3"/>
        <v>91.65</v>
      </c>
      <c r="E105" s="74">
        <f t="shared" si="4"/>
        <v>24.674999999999997</v>
      </c>
      <c r="F105" s="74">
        <f t="shared" si="5"/>
        <v>24.674999999999997</v>
      </c>
    </row>
    <row r="106" spans="1:6" x14ac:dyDescent="0.25">
      <c r="A106" s="75" t="s">
        <v>164</v>
      </c>
      <c r="B106" s="148" t="s">
        <v>59</v>
      </c>
      <c r="C106" s="150">
        <v>150</v>
      </c>
      <c r="D106" s="74">
        <f t="shared" si="3"/>
        <v>97.5</v>
      </c>
      <c r="E106" s="74">
        <f t="shared" si="4"/>
        <v>26.25</v>
      </c>
      <c r="F106" s="74">
        <f t="shared" si="5"/>
        <v>26.25</v>
      </c>
    </row>
    <row r="107" spans="1:6" x14ac:dyDescent="0.25">
      <c r="A107" s="75" t="s">
        <v>165</v>
      </c>
      <c r="B107" s="148" t="s">
        <v>73</v>
      </c>
      <c r="C107" s="150">
        <v>207</v>
      </c>
      <c r="D107" s="74">
        <f t="shared" si="3"/>
        <v>134.55000000000001</v>
      </c>
      <c r="E107" s="74">
        <f t="shared" si="4"/>
        <v>36.224999999999994</v>
      </c>
      <c r="F107" s="74">
        <f t="shared" si="5"/>
        <v>36.224999999999994</v>
      </c>
    </row>
    <row r="108" spans="1:6" x14ac:dyDescent="0.25">
      <c r="A108" s="75" t="s">
        <v>166</v>
      </c>
      <c r="B108" s="148" t="s">
        <v>59</v>
      </c>
      <c r="C108" s="150">
        <v>150</v>
      </c>
      <c r="D108" s="74">
        <f t="shared" si="3"/>
        <v>97.5</v>
      </c>
      <c r="E108" s="74">
        <f t="shared" si="4"/>
        <v>26.25</v>
      </c>
      <c r="F108" s="74">
        <f t="shared" si="5"/>
        <v>26.25</v>
      </c>
    </row>
    <row r="109" spans="1:6" x14ac:dyDescent="0.25">
      <c r="A109" s="75" t="s">
        <v>167</v>
      </c>
      <c r="B109" s="148" t="s">
        <v>59</v>
      </c>
      <c r="C109" s="150">
        <v>245</v>
      </c>
      <c r="D109" s="74">
        <f t="shared" si="3"/>
        <v>159.25</v>
      </c>
      <c r="E109" s="74">
        <f t="shared" si="4"/>
        <v>42.875</v>
      </c>
      <c r="F109" s="74">
        <f t="shared" si="5"/>
        <v>42.875</v>
      </c>
    </row>
    <row r="110" spans="1:6" x14ac:dyDescent="0.25">
      <c r="A110" s="75" t="s">
        <v>168</v>
      </c>
      <c r="B110" s="148" t="s">
        <v>58</v>
      </c>
      <c r="C110" s="150">
        <v>150</v>
      </c>
      <c r="D110" s="74">
        <f t="shared" si="3"/>
        <v>97.5</v>
      </c>
      <c r="E110" s="74">
        <f t="shared" si="4"/>
        <v>26.25</v>
      </c>
      <c r="F110" s="74">
        <f t="shared" si="5"/>
        <v>26.25</v>
      </c>
    </row>
    <row r="111" spans="1:6" x14ac:dyDescent="0.25">
      <c r="A111" s="75" t="s">
        <v>169</v>
      </c>
      <c r="B111" s="148" t="s">
        <v>59</v>
      </c>
      <c r="C111" s="150">
        <v>120</v>
      </c>
      <c r="D111" s="74">
        <f t="shared" si="3"/>
        <v>78</v>
      </c>
      <c r="E111" s="74">
        <f t="shared" si="4"/>
        <v>21</v>
      </c>
      <c r="F111" s="74">
        <f t="shared" si="5"/>
        <v>21</v>
      </c>
    </row>
    <row r="112" spans="1:6" x14ac:dyDescent="0.25">
      <c r="A112" s="75" t="s">
        <v>170</v>
      </c>
      <c r="B112" s="148" t="s">
        <v>59</v>
      </c>
      <c r="C112" s="150">
        <v>152</v>
      </c>
      <c r="D112" s="74">
        <f t="shared" si="3"/>
        <v>98.8</v>
      </c>
      <c r="E112" s="74">
        <f t="shared" si="4"/>
        <v>26.599999999999998</v>
      </c>
      <c r="F112" s="74">
        <f t="shared" si="5"/>
        <v>26.599999999999998</v>
      </c>
    </row>
    <row r="113" spans="1:6" x14ac:dyDescent="0.25">
      <c r="A113" s="75" t="s">
        <v>171</v>
      </c>
      <c r="B113" s="148" t="s">
        <v>59</v>
      </c>
      <c r="C113" s="150">
        <v>154</v>
      </c>
      <c r="D113" s="74">
        <f t="shared" si="3"/>
        <v>100.10000000000001</v>
      </c>
      <c r="E113" s="74">
        <f t="shared" si="4"/>
        <v>26.95</v>
      </c>
      <c r="F113" s="74">
        <f t="shared" si="5"/>
        <v>26.95</v>
      </c>
    </row>
    <row r="114" spans="1:6" x14ac:dyDescent="0.25">
      <c r="A114" s="75" t="s">
        <v>172</v>
      </c>
      <c r="B114" s="148" t="s">
        <v>58</v>
      </c>
      <c r="C114" s="150">
        <v>230</v>
      </c>
      <c r="D114" s="74">
        <f t="shared" si="3"/>
        <v>149.5</v>
      </c>
      <c r="E114" s="74">
        <f t="shared" si="4"/>
        <v>40.25</v>
      </c>
      <c r="F114" s="74">
        <f t="shared" si="5"/>
        <v>40.25</v>
      </c>
    </row>
    <row r="115" spans="1:6" x14ac:dyDescent="0.25">
      <c r="A115" s="75" t="s">
        <v>173</v>
      </c>
      <c r="B115" s="148" t="s">
        <v>59</v>
      </c>
      <c r="C115" s="151">
        <v>240</v>
      </c>
      <c r="D115" s="76">
        <f t="shared" si="3"/>
        <v>156</v>
      </c>
      <c r="E115" s="76">
        <f t="shared" si="4"/>
        <v>42</v>
      </c>
      <c r="F115" s="76">
        <f t="shared" si="5"/>
        <v>42</v>
      </c>
    </row>
    <row r="116" spans="1:6" x14ac:dyDescent="0.25">
      <c r="A116" s="75" t="s">
        <v>174</v>
      </c>
      <c r="B116" s="148" t="s">
        <v>175</v>
      </c>
      <c r="C116" s="150">
        <v>230</v>
      </c>
      <c r="D116" s="74">
        <f t="shared" si="3"/>
        <v>149.5</v>
      </c>
      <c r="E116" s="74">
        <f t="shared" si="4"/>
        <v>40.25</v>
      </c>
      <c r="F116" s="74">
        <f t="shared" si="5"/>
        <v>40.25</v>
      </c>
    </row>
    <row r="117" spans="1:6" x14ac:dyDescent="0.25">
      <c r="A117" s="75" t="s">
        <v>176</v>
      </c>
      <c r="B117" s="148" t="s">
        <v>59</v>
      </c>
      <c r="C117" s="150">
        <v>145</v>
      </c>
      <c r="D117" s="74">
        <f t="shared" si="3"/>
        <v>94.25</v>
      </c>
      <c r="E117" s="74">
        <f t="shared" si="4"/>
        <v>25.375</v>
      </c>
      <c r="F117" s="74">
        <f t="shared" si="5"/>
        <v>25.375</v>
      </c>
    </row>
    <row r="118" spans="1:6" x14ac:dyDescent="0.25">
      <c r="A118" s="75" t="s">
        <v>177</v>
      </c>
      <c r="B118" s="148" t="s">
        <v>59</v>
      </c>
      <c r="C118" s="150">
        <v>227</v>
      </c>
      <c r="D118" s="74">
        <f t="shared" si="3"/>
        <v>147.55000000000001</v>
      </c>
      <c r="E118" s="74">
        <f t="shared" si="4"/>
        <v>39.724999999999994</v>
      </c>
      <c r="F118" s="74">
        <f t="shared" si="5"/>
        <v>39.724999999999994</v>
      </c>
    </row>
    <row r="119" spans="1:6" x14ac:dyDescent="0.25">
      <c r="A119" s="75" t="s">
        <v>178</v>
      </c>
      <c r="B119" s="148" t="s">
        <v>147</v>
      </c>
      <c r="C119" s="150">
        <v>2200</v>
      </c>
      <c r="D119" s="74">
        <f t="shared" si="3"/>
        <v>1430</v>
      </c>
      <c r="E119" s="74">
        <f t="shared" si="4"/>
        <v>385</v>
      </c>
      <c r="F119" s="74">
        <f t="shared" si="5"/>
        <v>385</v>
      </c>
    </row>
    <row r="120" spans="1:6" x14ac:dyDescent="0.25">
      <c r="A120" s="75" t="s">
        <v>179</v>
      </c>
      <c r="B120" s="148" t="s">
        <v>59</v>
      </c>
      <c r="C120" s="150">
        <v>117</v>
      </c>
      <c r="D120" s="74">
        <f t="shared" si="3"/>
        <v>76.05</v>
      </c>
      <c r="E120" s="74">
        <f t="shared" si="4"/>
        <v>20.474999999999998</v>
      </c>
      <c r="F120" s="74">
        <f t="shared" si="5"/>
        <v>20.474999999999998</v>
      </c>
    </row>
    <row r="121" spans="1:6" x14ac:dyDescent="0.25">
      <c r="A121" s="75" t="s">
        <v>180</v>
      </c>
      <c r="B121" s="148" t="s">
        <v>59</v>
      </c>
      <c r="C121" s="151">
        <v>114</v>
      </c>
      <c r="D121" s="76">
        <f t="shared" si="3"/>
        <v>74.100000000000009</v>
      </c>
      <c r="E121" s="76">
        <f t="shared" si="4"/>
        <v>19.95</v>
      </c>
      <c r="F121" s="76">
        <f t="shared" si="5"/>
        <v>19.95</v>
      </c>
    </row>
    <row r="122" spans="1:6" x14ac:dyDescent="0.25">
      <c r="A122" s="75" t="s">
        <v>181</v>
      </c>
      <c r="B122" s="148" t="s">
        <v>182</v>
      </c>
      <c r="C122" s="150">
        <v>468</v>
      </c>
      <c r="D122" s="74">
        <f t="shared" si="3"/>
        <v>304.2</v>
      </c>
      <c r="E122" s="74">
        <f t="shared" si="4"/>
        <v>81.899999999999991</v>
      </c>
      <c r="F122" s="74">
        <f t="shared" si="5"/>
        <v>81.899999999999991</v>
      </c>
    </row>
    <row r="123" spans="1:6" x14ac:dyDescent="0.25">
      <c r="A123" s="75" t="s">
        <v>183</v>
      </c>
      <c r="B123" s="148" t="s">
        <v>58</v>
      </c>
      <c r="C123" s="150">
        <v>214</v>
      </c>
      <c r="D123" s="74">
        <f t="shared" si="3"/>
        <v>139.1</v>
      </c>
      <c r="E123" s="74">
        <f t="shared" si="4"/>
        <v>37.449999999999996</v>
      </c>
      <c r="F123" s="74">
        <f t="shared" si="5"/>
        <v>37.449999999999996</v>
      </c>
    </row>
    <row r="124" spans="1:6" x14ac:dyDescent="0.25">
      <c r="A124" s="75" t="s">
        <v>376</v>
      </c>
      <c r="B124" s="148" t="s">
        <v>59</v>
      </c>
      <c r="C124" s="150">
        <v>320</v>
      </c>
      <c r="D124" s="74">
        <f t="shared" si="3"/>
        <v>208</v>
      </c>
      <c r="E124" s="74">
        <f t="shared" si="4"/>
        <v>56</v>
      </c>
      <c r="F124" s="74">
        <f t="shared" si="5"/>
        <v>56</v>
      </c>
    </row>
    <row r="125" spans="1:6" x14ac:dyDescent="0.25">
      <c r="A125" s="75" t="s">
        <v>184</v>
      </c>
      <c r="B125" s="148" t="s">
        <v>100</v>
      </c>
      <c r="C125" s="151">
        <v>161600</v>
      </c>
      <c r="D125" s="76">
        <f t="shared" si="3"/>
        <v>105040</v>
      </c>
      <c r="E125" s="76">
        <f t="shared" si="4"/>
        <v>28280</v>
      </c>
      <c r="F125" s="76">
        <f t="shared" si="5"/>
        <v>28280</v>
      </c>
    </row>
    <row r="126" spans="1:6" x14ac:dyDescent="0.25">
      <c r="A126" s="75" t="s">
        <v>185</v>
      </c>
      <c r="B126" s="148" t="s">
        <v>59</v>
      </c>
      <c r="C126" s="150">
        <v>200</v>
      </c>
      <c r="D126" s="74">
        <f t="shared" si="3"/>
        <v>130</v>
      </c>
      <c r="E126" s="74">
        <f t="shared" si="4"/>
        <v>35</v>
      </c>
      <c r="F126" s="74">
        <f t="shared" si="5"/>
        <v>35</v>
      </c>
    </row>
    <row r="127" spans="1:6" x14ac:dyDescent="0.25">
      <c r="A127" s="75" t="s">
        <v>186</v>
      </c>
      <c r="B127" s="148" t="s">
        <v>59</v>
      </c>
      <c r="C127" s="150">
        <v>175</v>
      </c>
      <c r="D127" s="74">
        <f t="shared" si="3"/>
        <v>113.75</v>
      </c>
      <c r="E127" s="74">
        <f t="shared" si="4"/>
        <v>30.624999999999996</v>
      </c>
      <c r="F127" s="74">
        <f t="shared" si="5"/>
        <v>30.624999999999996</v>
      </c>
    </row>
    <row r="128" spans="1:6" x14ac:dyDescent="0.25">
      <c r="A128" s="75" t="s">
        <v>377</v>
      </c>
      <c r="B128" s="148" t="s">
        <v>58</v>
      </c>
      <c r="C128" s="150">
        <v>154</v>
      </c>
      <c r="D128" s="74">
        <f t="shared" ref="D128:D191" si="6">C128*0.65</f>
        <v>100.10000000000001</v>
      </c>
      <c r="E128" s="74">
        <f t="shared" ref="E128:E191" si="7">C128*0.175</f>
        <v>26.95</v>
      </c>
      <c r="F128" s="74">
        <f t="shared" ref="F128:F191" si="8">C128*0.175</f>
        <v>26.95</v>
      </c>
    </row>
    <row r="129" spans="1:6" x14ac:dyDescent="0.25">
      <c r="A129" s="75" t="s">
        <v>187</v>
      </c>
      <c r="B129" s="148" t="s">
        <v>188</v>
      </c>
      <c r="C129" s="150">
        <v>9450</v>
      </c>
      <c r="D129" s="74">
        <f t="shared" si="6"/>
        <v>6142.5</v>
      </c>
      <c r="E129" s="74">
        <f t="shared" si="7"/>
        <v>1653.75</v>
      </c>
      <c r="F129" s="74">
        <f t="shared" si="8"/>
        <v>1653.75</v>
      </c>
    </row>
    <row r="130" spans="1:6" x14ac:dyDescent="0.25">
      <c r="A130" s="75" t="s">
        <v>189</v>
      </c>
      <c r="B130" s="148" t="s">
        <v>59</v>
      </c>
      <c r="C130" s="150">
        <v>143</v>
      </c>
      <c r="D130" s="74">
        <f t="shared" si="6"/>
        <v>92.95</v>
      </c>
      <c r="E130" s="74">
        <f t="shared" si="7"/>
        <v>25.024999999999999</v>
      </c>
      <c r="F130" s="74">
        <f t="shared" si="8"/>
        <v>25.024999999999999</v>
      </c>
    </row>
    <row r="131" spans="1:6" x14ac:dyDescent="0.25">
      <c r="A131" s="75" t="s">
        <v>190</v>
      </c>
      <c r="B131" s="148" t="s">
        <v>338</v>
      </c>
      <c r="C131" s="150">
        <v>3800</v>
      </c>
      <c r="D131" s="74">
        <f t="shared" si="6"/>
        <v>2470</v>
      </c>
      <c r="E131" s="74">
        <f t="shared" si="7"/>
        <v>665</v>
      </c>
      <c r="F131" s="74">
        <f t="shared" si="8"/>
        <v>665</v>
      </c>
    </row>
    <row r="132" spans="1:6" x14ac:dyDescent="0.25">
      <c r="A132" s="75" t="s">
        <v>191</v>
      </c>
      <c r="B132" s="148" t="s">
        <v>58</v>
      </c>
      <c r="C132" s="150">
        <v>157</v>
      </c>
      <c r="D132" s="74">
        <f t="shared" si="6"/>
        <v>102.05</v>
      </c>
      <c r="E132" s="74">
        <f t="shared" si="7"/>
        <v>27.474999999999998</v>
      </c>
      <c r="F132" s="74">
        <f t="shared" si="8"/>
        <v>27.474999999999998</v>
      </c>
    </row>
    <row r="133" spans="1:6" x14ac:dyDescent="0.25">
      <c r="A133" s="75" t="s">
        <v>192</v>
      </c>
      <c r="B133" s="148" t="s">
        <v>58</v>
      </c>
      <c r="C133" s="150">
        <v>188</v>
      </c>
      <c r="D133" s="74">
        <f t="shared" si="6"/>
        <v>122.2</v>
      </c>
      <c r="E133" s="74">
        <f t="shared" si="7"/>
        <v>32.9</v>
      </c>
      <c r="F133" s="74">
        <f t="shared" si="8"/>
        <v>32.9</v>
      </c>
    </row>
    <row r="134" spans="1:6" x14ac:dyDescent="0.25">
      <c r="A134" s="75" t="s">
        <v>193</v>
      </c>
      <c r="B134" s="148" t="s">
        <v>59</v>
      </c>
      <c r="C134" s="150">
        <v>102</v>
      </c>
      <c r="D134" s="74">
        <f t="shared" si="6"/>
        <v>66.3</v>
      </c>
      <c r="E134" s="74">
        <f t="shared" si="7"/>
        <v>17.849999999999998</v>
      </c>
      <c r="F134" s="74">
        <f t="shared" si="8"/>
        <v>17.849999999999998</v>
      </c>
    </row>
    <row r="135" spans="1:6" x14ac:dyDescent="0.25">
      <c r="A135" s="75" t="s">
        <v>194</v>
      </c>
      <c r="B135" s="148" t="s">
        <v>59</v>
      </c>
      <c r="C135" s="150">
        <v>150</v>
      </c>
      <c r="D135" s="74">
        <f t="shared" si="6"/>
        <v>97.5</v>
      </c>
      <c r="E135" s="74">
        <f t="shared" si="7"/>
        <v>26.25</v>
      </c>
      <c r="F135" s="74">
        <f t="shared" si="8"/>
        <v>26.25</v>
      </c>
    </row>
    <row r="136" spans="1:6" x14ac:dyDescent="0.25">
      <c r="A136" s="75" t="s">
        <v>195</v>
      </c>
      <c r="B136" s="148" t="s">
        <v>58</v>
      </c>
      <c r="C136" s="150">
        <v>189</v>
      </c>
      <c r="D136" s="74">
        <f t="shared" si="6"/>
        <v>122.85000000000001</v>
      </c>
      <c r="E136" s="74">
        <f t="shared" si="7"/>
        <v>33.074999999999996</v>
      </c>
      <c r="F136" s="74">
        <f t="shared" si="8"/>
        <v>33.074999999999996</v>
      </c>
    </row>
    <row r="137" spans="1:6" x14ac:dyDescent="0.25">
      <c r="A137" s="75" t="s">
        <v>196</v>
      </c>
      <c r="B137" s="148" t="s">
        <v>59</v>
      </c>
      <c r="C137" s="151">
        <v>150</v>
      </c>
      <c r="D137" s="76">
        <f t="shared" si="6"/>
        <v>97.5</v>
      </c>
      <c r="E137" s="76">
        <f t="shared" si="7"/>
        <v>26.25</v>
      </c>
      <c r="F137" s="76">
        <f t="shared" si="8"/>
        <v>26.25</v>
      </c>
    </row>
    <row r="138" spans="1:6" x14ac:dyDescent="0.25">
      <c r="A138" s="75" t="s">
        <v>197</v>
      </c>
      <c r="B138" s="148" t="s">
        <v>73</v>
      </c>
      <c r="C138" s="150">
        <v>600</v>
      </c>
      <c r="D138" s="74">
        <f t="shared" si="6"/>
        <v>390</v>
      </c>
      <c r="E138" s="74">
        <f t="shared" si="7"/>
        <v>105</v>
      </c>
      <c r="F138" s="74">
        <f t="shared" si="8"/>
        <v>105</v>
      </c>
    </row>
    <row r="139" spans="1:6" x14ac:dyDescent="0.25">
      <c r="A139" s="75" t="s">
        <v>198</v>
      </c>
      <c r="B139" s="148" t="s">
        <v>58</v>
      </c>
      <c r="C139" s="150">
        <v>140</v>
      </c>
      <c r="D139" s="74">
        <f t="shared" si="6"/>
        <v>91</v>
      </c>
      <c r="E139" s="74">
        <f t="shared" si="7"/>
        <v>24.5</v>
      </c>
      <c r="F139" s="74">
        <f t="shared" si="8"/>
        <v>24.5</v>
      </c>
    </row>
    <row r="140" spans="1:6" x14ac:dyDescent="0.25">
      <c r="A140" s="75" t="s">
        <v>199</v>
      </c>
      <c r="B140" s="148" t="s">
        <v>58</v>
      </c>
      <c r="C140" s="151">
        <v>154</v>
      </c>
      <c r="D140" s="76">
        <f t="shared" si="6"/>
        <v>100.10000000000001</v>
      </c>
      <c r="E140" s="76">
        <f t="shared" si="7"/>
        <v>26.95</v>
      </c>
      <c r="F140" s="76">
        <f t="shared" si="8"/>
        <v>26.95</v>
      </c>
    </row>
    <row r="141" spans="1:6" x14ac:dyDescent="0.25">
      <c r="A141" s="75" t="s">
        <v>200</v>
      </c>
      <c r="B141" s="148" t="s">
        <v>100</v>
      </c>
      <c r="C141" s="150">
        <v>78000</v>
      </c>
      <c r="D141" s="74">
        <f t="shared" si="6"/>
        <v>50700</v>
      </c>
      <c r="E141" s="74">
        <f t="shared" si="7"/>
        <v>13650</v>
      </c>
      <c r="F141" s="74">
        <f t="shared" si="8"/>
        <v>13650</v>
      </c>
    </row>
    <row r="142" spans="1:6" x14ac:dyDescent="0.25">
      <c r="A142" s="75" t="s">
        <v>339</v>
      </c>
      <c r="B142" s="148" t="s">
        <v>59</v>
      </c>
      <c r="C142" s="150">
        <v>230</v>
      </c>
      <c r="D142" s="74">
        <f t="shared" si="6"/>
        <v>149.5</v>
      </c>
      <c r="E142" s="74">
        <f t="shared" si="7"/>
        <v>40.25</v>
      </c>
      <c r="F142" s="74">
        <f t="shared" si="8"/>
        <v>40.25</v>
      </c>
    </row>
    <row r="143" spans="1:6" x14ac:dyDescent="0.25">
      <c r="A143" s="75" t="s">
        <v>340</v>
      </c>
      <c r="B143" s="148" t="s">
        <v>59</v>
      </c>
      <c r="C143" s="150">
        <v>160</v>
      </c>
      <c r="D143" s="74">
        <f t="shared" si="6"/>
        <v>104</v>
      </c>
      <c r="E143" s="74">
        <f t="shared" si="7"/>
        <v>28</v>
      </c>
      <c r="F143" s="74">
        <f t="shared" si="8"/>
        <v>28</v>
      </c>
    </row>
    <row r="144" spans="1:6" x14ac:dyDescent="0.25">
      <c r="A144" s="75" t="s">
        <v>201</v>
      </c>
      <c r="B144" s="148" t="s">
        <v>106</v>
      </c>
      <c r="C144" s="150">
        <v>204</v>
      </c>
      <c r="D144" s="74">
        <f t="shared" si="6"/>
        <v>132.6</v>
      </c>
      <c r="E144" s="74">
        <f t="shared" si="7"/>
        <v>35.699999999999996</v>
      </c>
      <c r="F144" s="74">
        <f t="shared" si="8"/>
        <v>35.699999999999996</v>
      </c>
    </row>
    <row r="145" spans="1:6" x14ac:dyDescent="0.25">
      <c r="A145" s="75" t="s">
        <v>202</v>
      </c>
      <c r="B145" s="148" t="s">
        <v>203</v>
      </c>
      <c r="C145" s="150">
        <v>2700</v>
      </c>
      <c r="D145" s="74">
        <f t="shared" si="6"/>
        <v>1755</v>
      </c>
      <c r="E145" s="74">
        <f t="shared" si="7"/>
        <v>472.49999999999994</v>
      </c>
      <c r="F145" s="74">
        <f t="shared" si="8"/>
        <v>472.49999999999994</v>
      </c>
    </row>
    <row r="146" spans="1:6" x14ac:dyDescent="0.25">
      <c r="A146" s="75" t="s">
        <v>204</v>
      </c>
      <c r="B146" s="148" t="s">
        <v>106</v>
      </c>
      <c r="C146" s="150">
        <v>370</v>
      </c>
      <c r="D146" s="74">
        <f t="shared" si="6"/>
        <v>240.5</v>
      </c>
      <c r="E146" s="74">
        <f t="shared" si="7"/>
        <v>64.75</v>
      </c>
      <c r="F146" s="74">
        <f t="shared" si="8"/>
        <v>64.75</v>
      </c>
    </row>
    <row r="147" spans="1:6" x14ac:dyDescent="0.25">
      <c r="A147" s="75" t="s">
        <v>205</v>
      </c>
      <c r="B147" s="148" t="s">
        <v>59</v>
      </c>
      <c r="C147" s="150">
        <v>265</v>
      </c>
      <c r="D147" s="74">
        <f t="shared" si="6"/>
        <v>172.25</v>
      </c>
      <c r="E147" s="74">
        <f t="shared" si="7"/>
        <v>46.375</v>
      </c>
      <c r="F147" s="74">
        <f t="shared" si="8"/>
        <v>46.375</v>
      </c>
    </row>
    <row r="148" spans="1:6" x14ac:dyDescent="0.25">
      <c r="A148" s="75" t="s">
        <v>206</v>
      </c>
      <c r="B148" s="148" t="s">
        <v>59</v>
      </c>
      <c r="C148" s="150">
        <v>130</v>
      </c>
      <c r="D148" s="74">
        <f t="shared" si="6"/>
        <v>84.5</v>
      </c>
      <c r="E148" s="74">
        <f t="shared" si="7"/>
        <v>22.75</v>
      </c>
      <c r="F148" s="74">
        <f t="shared" si="8"/>
        <v>22.75</v>
      </c>
    </row>
    <row r="149" spans="1:6" x14ac:dyDescent="0.25">
      <c r="A149" s="75" t="s">
        <v>207</v>
      </c>
      <c r="B149" s="148" t="s">
        <v>58</v>
      </c>
      <c r="C149" s="150">
        <v>197</v>
      </c>
      <c r="D149" s="74">
        <f t="shared" si="6"/>
        <v>128.05000000000001</v>
      </c>
      <c r="E149" s="74">
        <f t="shared" si="7"/>
        <v>34.474999999999994</v>
      </c>
      <c r="F149" s="74">
        <f t="shared" si="8"/>
        <v>34.474999999999994</v>
      </c>
    </row>
    <row r="150" spans="1:6" x14ac:dyDescent="0.25">
      <c r="A150" s="75" t="s">
        <v>208</v>
      </c>
      <c r="B150" s="148" t="s">
        <v>58</v>
      </c>
      <c r="C150" s="150">
        <v>173</v>
      </c>
      <c r="D150" s="74">
        <f t="shared" si="6"/>
        <v>112.45</v>
      </c>
      <c r="E150" s="74">
        <f t="shared" si="7"/>
        <v>30.274999999999999</v>
      </c>
      <c r="F150" s="74">
        <f t="shared" si="8"/>
        <v>30.274999999999999</v>
      </c>
    </row>
    <row r="151" spans="1:6" x14ac:dyDescent="0.25">
      <c r="A151" s="75" t="s">
        <v>378</v>
      </c>
      <c r="B151" s="148" t="s">
        <v>58</v>
      </c>
      <c r="C151" s="150">
        <v>311</v>
      </c>
      <c r="D151" s="74">
        <f t="shared" si="6"/>
        <v>202.15</v>
      </c>
      <c r="E151" s="74">
        <f t="shared" si="7"/>
        <v>54.424999999999997</v>
      </c>
      <c r="F151" s="74">
        <f t="shared" si="8"/>
        <v>54.424999999999997</v>
      </c>
    </row>
    <row r="152" spans="1:6" x14ac:dyDescent="0.25">
      <c r="A152" s="75" t="s">
        <v>209</v>
      </c>
      <c r="B152" s="148" t="s">
        <v>58</v>
      </c>
      <c r="C152" s="151">
        <v>178</v>
      </c>
      <c r="D152" s="76">
        <f t="shared" si="6"/>
        <v>115.7</v>
      </c>
      <c r="E152" s="76">
        <f t="shared" si="7"/>
        <v>31.15</v>
      </c>
      <c r="F152" s="76">
        <f t="shared" si="8"/>
        <v>31.15</v>
      </c>
    </row>
    <row r="153" spans="1:6" x14ac:dyDescent="0.25">
      <c r="A153" s="75" t="s">
        <v>210</v>
      </c>
      <c r="B153" s="148" t="s">
        <v>59</v>
      </c>
      <c r="C153" s="150">
        <v>172</v>
      </c>
      <c r="D153" s="74">
        <f t="shared" si="6"/>
        <v>111.8</v>
      </c>
      <c r="E153" s="74">
        <f t="shared" si="7"/>
        <v>30.099999999999998</v>
      </c>
      <c r="F153" s="74">
        <f t="shared" si="8"/>
        <v>30.099999999999998</v>
      </c>
    </row>
    <row r="154" spans="1:6" x14ac:dyDescent="0.25">
      <c r="A154" s="75" t="s">
        <v>211</v>
      </c>
      <c r="B154" s="148" t="s">
        <v>58</v>
      </c>
      <c r="C154" s="150">
        <v>180</v>
      </c>
      <c r="D154" s="74">
        <f t="shared" si="6"/>
        <v>117</v>
      </c>
      <c r="E154" s="74">
        <f t="shared" si="7"/>
        <v>31.499999999999996</v>
      </c>
      <c r="F154" s="74">
        <f t="shared" si="8"/>
        <v>31.499999999999996</v>
      </c>
    </row>
    <row r="155" spans="1:6" x14ac:dyDescent="0.25">
      <c r="A155" s="75" t="s">
        <v>212</v>
      </c>
      <c r="B155" s="148" t="s">
        <v>59</v>
      </c>
      <c r="C155" s="150">
        <v>161</v>
      </c>
      <c r="D155" s="74">
        <f t="shared" si="6"/>
        <v>104.65</v>
      </c>
      <c r="E155" s="74">
        <f t="shared" si="7"/>
        <v>28.174999999999997</v>
      </c>
      <c r="F155" s="74">
        <f t="shared" si="8"/>
        <v>28.174999999999997</v>
      </c>
    </row>
    <row r="156" spans="1:6" x14ac:dyDescent="0.25">
      <c r="A156" s="75" t="s">
        <v>213</v>
      </c>
      <c r="B156" s="148" t="s">
        <v>58</v>
      </c>
      <c r="C156" s="150">
        <v>170</v>
      </c>
      <c r="D156" s="74">
        <f t="shared" si="6"/>
        <v>110.5</v>
      </c>
      <c r="E156" s="74">
        <f t="shared" si="7"/>
        <v>29.749999999999996</v>
      </c>
      <c r="F156" s="74">
        <f t="shared" si="8"/>
        <v>29.749999999999996</v>
      </c>
    </row>
    <row r="157" spans="1:6" x14ac:dyDescent="0.25">
      <c r="A157" s="75" t="s">
        <v>214</v>
      </c>
      <c r="B157" s="148" t="s">
        <v>215</v>
      </c>
      <c r="C157" s="150">
        <v>8770</v>
      </c>
      <c r="D157" s="74">
        <f t="shared" si="6"/>
        <v>5700.5</v>
      </c>
      <c r="E157" s="74">
        <f t="shared" si="7"/>
        <v>1534.75</v>
      </c>
      <c r="F157" s="74">
        <f t="shared" si="8"/>
        <v>1534.75</v>
      </c>
    </row>
    <row r="158" spans="1:6" x14ac:dyDescent="0.25">
      <c r="A158" s="75" t="s">
        <v>216</v>
      </c>
      <c r="B158" s="148" t="s">
        <v>59</v>
      </c>
      <c r="C158" s="150">
        <v>175</v>
      </c>
      <c r="D158" s="74">
        <f t="shared" si="6"/>
        <v>113.75</v>
      </c>
      <c r="E158" s="74">
        <f t="shared" si="7"/>
        <v>30.624999999999996</v>
      </c>
      <c r="F158" s="74">
        <f t="shared" si="8"/>
        <v>30.624999999999996</v>
      </c>
    </row>
    <row r="159" spans="1:6" x14ac:dyDescent="0.25">
      <c r="A159" s="75" t="s">
        <v>217</v>
      </c>
      <c r="B159" s="148" t="s">
        <v>59</v>
      </c>
      <c r="C159" s="150">
        <v>160</v>
      </c>
      <c r="D159" s="74">
        <f t="shared" si="6"/>
        <v>104</v>
      </c>
      <c r="E159" s="74">
        <f t="shared" si="7"/>
        <v>28</v>
      </c>
      <c r="F159" s="74">
        <f t="shared" si="8"/>
        <v>28</v>
      </c>
    </row>
    <row r="160" spans="1:6" x14ac:dyDescent="0.25">
      <c r="A160" s="75" t="s">
        <v>218</v>
      </c>
      <c r="B160" s="148" t="s">
        <v>59</v>
      </c>
      <c r="C160" s="150">
        <v>278</v>
      </c>
      <c r="D160" s="74">
        <f t="shared" si="6"/>
        <v>180.70000000000002</v>
      </c>
      <c r="E160" s="74">
        <f t="shared" si="7"/>
        <v>48.65</v>
      </c>
      <c r="F160" s="74">
        <f t="shared" si="8"/>
        <v>48.65</v>
      </c>
    </row>
    <row r="161" spans="1:6" x14ac:dyDescent="0.25">
      <c r="A161" s="75" t="s">
        <v>219</v>
      </c>
      <c r="B161" s="148" t="s">
        <v>59</v>
      </c>
      <c r="C161" s="150">
        <v>160</v>
      </c>
      <c r="D161" s="74">
        <f t="shared" si="6"/>
        <v>104</v>
      </c>
      <c r="E161" s="74">
        <f t="shared" si="7"/>
        <v>28</v>
      </c>
      <c r="F161" s="74">
        <f t="shared" si="8"/>
        <v>28</v>
      </c>
    </row>
    <row r="162" spans="1:6" x14ac:dyDescent="0.25">
      <c r="A162" s="75" t="s">
        <v>220</v>
      </c>
      <c r="B162" s="148" t="s">
        <v>59</v>
      </c>
      <c r="C162" s="151">
        <v>230</v>
      </c>
      <c r="D162" s="76">
        <f t="shared" si="6"/>
        <v>149.5</v>
      </c>
      <c r="E162" s="76">
        <f t="shared" si="7"/>
        <v>40.25</v>
      </c>
      <c r="F162" s="76">
        <f t="shared" si="8"/>
        <v>40.25</v>
      </c>
    </row>
    <row r="163" spans="1:6" x14ac:dyDescent="0.25">
      <c r="A163" s="75" t="s">
        <v>221</v>
      </c>
      <c r="B163" s="148" t="s">
        <v>222</v>
      </c>
      <c r="C163" s="150">
        <v>170</v>
      </c>
      <c r="D163" s="74">
        <f t="shared" si="6"/>
        <v>110.5</v>
      </c>
      <c r="E163" s="74">
        <f t="shared" si="7"/>
        <v>29.749999999999996</v>
      </c>
      <c r="F163" s="74">
        <f t="shared" si="8"/>
        <v>29.749999999999996</v>
      </c>
    </row>
    <row r="164" spans="1:6" x14ac:dyDescent="0.25">
      <c r="A164" s="75" t="s">
        <v>341</v>
      </c>
      <c r="B164" s="148" t="s">
        <v>58</v>
      </c>
      <c r="C164" s="150">
        <v>287</v>
      </c>
      <c r="D164" s="74">
        <f t="shared" si="6"/>
        <v>186.55</v>
      </c>
      <c r="E164" s="74">
        <f t="shared" si="7"/>
        <v>50.224999999999994</v>
      </c>
      <c r="F164" s="74">
        <f t="shared" si="8"/>
        <v>50.224999999999994</v>
      </c>
    </row>
    <row r="165" spans="1:6" x14ac:dyDescent="0.25">
      <c r="A165" s="75" t="s">
        <v>342</v>
      </c>
      <c r="B165" s="148" t="s">
        <v>58</v>
      </c>
      <c r="C165" s="150">
        <v>261</v>
      </c>
      <c r="D165" s="74">
        <f t="shared" si="6"/>
        <v>169.65</v>
      </c>
      <c r="E165" s="74">
        <f t="shared" si="7"/>
        <v>45.674999999999997</v>
      </c>
      <c r="F165" s="74">
        <f t="shared" si="8"/>
        <v>45.674999999999997</v>
      </c>
    </row>
    <row r="166" spans="1:6" x14ac:dyDescent="0.25">
      <c r="A166" s="75" t="s">
        <v>223</v>
      </c>
      <c r="B166" s="148" t="s">
        <v>58</v>
      </c>
      <c r="C166" s="151">
        <v>275</v>
      </c>
      <c r="D166" s="76">
        <f t="shared" si="6"/>
        <v>178.75</v>
      </c>
      <c r="E166" s="76">
        <f t="shared" si="7"/>
        <v>48.125</v>
      </c>
      <c r="F166" s="76">
        <f t="shared" si="8"/>
        <v>48.125</v>
      </c>
    </row>
    <row r="167" spans="1:6" x14ac:dyDescent="0.25">
      <c r="A167" s="75" t="s">
        <v>224</v>
      </c>
      <c r="B167" s="148" t="s">
        <v>225</v>
      </c>
      <c r="C167" s="150">
        <v>23052</v>
      </c>
      <c r="D167" s="74">
        <f t="shared" si="6"/>
        <v>14983.800000000001</v>
      </c>
      <c r="E167" s="74">
        <f t="shared" si="7"/>
        <v>4034.1</v>
      </c>
      <c r="F167" s="74">
        <f t="shared" si="8"/>
        <v>4034.1</v>
      </c>
    </row>
    <row r="168" spans="1:6" x14ac:dyDescent="0.25">
      <c r="A168" s="75" t="s">
        <v>226</v>
      </c>
      <c r="B168" s="148" t="s">
        <v>58</v>
      </c>
      <c r="C168" s="150">
        <v>177</v>
      </c>
      <c r="D168" s="74">
        <f t="shared" si="6"/>
        <v>115.05</v>
      </c>
      <c r="E168" s="74">
        <f t="shared" si="7"/>
        <v>30.974999999999998</v>
      </c>
      <c r="F168" s="74">
        <f t="shared" si="8"/>
        <v>30.974999999999998</v>
      </c>
    </row>
    <row r="169" spans="1:6" x14ac:dyDescent="0.25">
      <c r="A169" s="75" t="s">
        <v>227</v>
      </c>
      <c r="B169" s="148" t="s">
        <v>58</v>
      </c>
      <c r="C169" s="150">
        <v>230</v>
      </c>
      <c r="D169" s="74">
        <f t="shared" si="6"/>
        <v>149.5</v>
      </c>
      <c r="E169" s="74">
        <f t="shared" si="7"/>
        <v>40.25</v>
      </c>
      <c r="F169" s="74">
        <f t="shared" si="8"/>
        <v>40.25</v>
      </c>
    </row>
    <row r="170" spans="1:6" x14ac:dyDescent="0.25">
      <c r="A170" s="75" t="s">
        <v>228</v>
      </c>
      <c r="B170" s="148" t="s">
        <v>58</v>
      </c>
      <c r="C170" s="150">
        <v>135</v>
      </c>
      <c r="D170" s="74">
        <f t="shared" si="6"/>
        <v>87.75</v>
      </c>
      <c r="E170" s="74">
        <f t="shared" si="7"/>
        <v>23.625</v>
      </c>
      <c r="F170" s="74">
        <f t="shared" si="8"/>
        <v>23.625</v>
      </c>
    </row>
    <row r="171" spans="1:6" x14ac:dyDescent="0.25">
      <c r="A171" s="75" t="s">
        <v>229</v>
      </c>
      <c r="B171" s="148" t="s">
        <v>100</v>
      </c>
      <c r="C171" s="150">
        <v>91800</v>
      </c>
      <c r="D171" s="74">
        <f t="shared" si="6"/>
        <v>59670</v>
      </c>
      <c r="E171" s="74">
        <f t="shared" si="7"/>
        <v>16064.999999999998</v>
      </c>
      <c r="F171" s="74">
        <f t="shared" si="8"/>
        <v>16064.999999999998</v>
      </c>
    </row>
    <row r="172" spans="1:6" x14ac:dyDescent="0.25">
      <c r="A172" s="75" t="s">
        <v>230</v>
      </c>
      <c r="B172" s="148" t="s">
        <v>59</v>
      </c>
      <c r="C172" s="150">
        <v>150</v>
      </c>
      <c r="D172" s="74">
        <f t="shared" si="6"/>
        <v>97.5</v>
      </c>
      <c r="E172" s="74">
        <f t="shared" si="7"/>
        <v>26.25</v>
      </c>
      <c r="F172" s="74">
        <f t="shared" si="8"/>
        <v>26.25</v>
      </c>
    </row>
    <row r="173" spans="1:6" x14ac:dyDescent="0.25">
      <c r="A173" s="75" t="s">
        <v>231</v>
      </c>
      <c r="B173" s="148" t="s">
        <v>59</v>
      </c>
      <c r="C173" s="150">
        <v>300</v>
      </c>
      <c r="D173" s="74">
        <f t="shared" si="6"/>
        <v>195</v>
      </c>
      <c r="E173" s="74">
        <f t="shared" si="7"/>
        <v>52.5</v>
      </c>
      <c r="F173" s="74">
        <f t="shared" si="8"/>
        <v>52.5</v>
      </c>
    </row>
    <row r="174" spans="1:6" x14ac:dyDescent="0.25">
      <c r="A174" s="75" t="s">
        <v>232</v>
      </c>
      <c r="B174" s="148" t="s">
        <v>58</v>
      </c>
      <c r="C174" s="150">
        <v>260</v>
      </c>
      <c r="D174" s="74">
        <f t="shared" si="6"/>
        <v>169</v>
      </c>
      <c r="E174" s="74">
        <f t="shared" si="7"/>
        <v>45.5</v>
      </c>
      <c r="F174" s="74">
        <f t="shared" si="8"/>
        <v>45.5</v>
      </c>
    </row>
    <row r="175" spans="1:6" x14ac:dyDescent="0.25">
      <c r="A175" s="78" t="s">
        <v>233</v>
      </c>
      <c r="B175" s="148" t="s">
        <v>343</v>
      </c>
      <c r="C175" s="150">
        <v>446</v>
      </c>
      <c r="D175" s="74">
        <f t="shared" si="6"/>
        <v>289.90000000000003</v>
      </c>
      <c r="E175" s="74">
        <f t="shared" si="7"/>
        <v>78.05</v>
      </c>
      <c r="F175" s="74">
        <f t="shared" si="8"/>
        <v>78.05</v>
      </c>
    </row>
    <row r="176" spans="1:6" x14ac:dyDescent="0.25">
      <c r="A176" s="75" t="s">
        <v>234</v>
      </c>
      <c r="B176" s="148" t="s">
        <v>59</v>
      </c>
      <c r="C176" s="150">
        <v>155</v>
      </c>
      <c r="D176" s="74">
        <f t="shared" si="6"/>
        <v>100.75</v>
      </c>
      <c r="E176" s="74">
        <f t="shared" si="7"/>
        <v>27.125</v>
      </c>
      <c r="F176" s="74">
        <f t="shared" si="8"/>
        <v>27.125</v>
      </c>
    </row>
    <row r="177" spans="1:6" x14ac:dyDescent="0.25">
      <c r="A177" s="75" t="s">
        <v>235</v>
      </c>
      <c r="B177" s="148" t="s">
        <v>59</v>
      </c>
      <c r="C177" s="151">
        <v>160</v>
      </c>
      <c r="D177" s="76">
        <f t="shared" si="6"/>
        <v>104</v>
      </c>
      <c r="E177" s="76">
        <f t="shared" si="7"/>
        <v>28</v>
      </c>
      <c r="F177" s="76">
        <f t="shared" si="8"/>
        <v>28</v>
      </c>
    </row>
    <row r="178" spans="1:6" x14ac:dyDescent="0.25">
      <c r="A178" s="75" t="s">
        <v>236</v>
      </c>
      <c r="B178" s="148" t="s">
        <v>58</v>
      </c>
      <c r="C178" s="150">
        <v>158</v>
      </c>
      <c r="D178" s="74">
        <f t="shared" si="6"/>
        <v>102.7</v>
      </c>
      <c r="E178" s="74">
        <f t="shared" si="7"/>
        <v>27.65</v>
      </c>
      <c r="F178" s="74">
        <f t="shared" si="8"/>
        <v>27.65</v>
      </c>
    </row>
    <row r="179" spans="1:6" x14ac:dyDescent="0.25">
      <c r="A179" s="75" t="s">
        <v>237</v>
      </c>
      <c r="B179" s="148" t="s">
        <v>58</v>
      </c>
      <c r="C179" s="150">
        <v>175</v>
      </c>
      <c r="D179" s="74">
        <f t="shared" si="6"/>
        <v>113.75</v>
      </c>
      <c r="E179" s="74">
        <f t="shared" si="7"/>
        <v>30.624999999999996</v>
      </c>
      <c r="F179" s="74">
        <f t="shared" si="8"/>
        <v>30.624999999999996</v>
      </c>
    </row>
    <row r="180" spans="1:6" x14ac:dyDescent="0.25">
      <c r="A180" s="75" t="s">
        <v>379</v>
      </c>
      <c r="B180" s="148" t="s">
        <v>58</v>
      </c>
      <c r="C180" s="150">
        <v>306</v>
      </c>
      <c r="D180" s="74">
        <f t="shared" si="6"/>
        <v>198.9</v>
      </c>
      <c r="E180" s="74">
        <f t="shared" si="7"/>
        <v>53.55</v>
      </c>
      <c r="F180" s="74">
        <f t="shared" si="8"/>
        <v>53.55</v>
      </c>
    </row>
    <row r="181" spans="1:6" x14ac:dyDescent="0.25">
      <c r="A181" s="75" t="s">
        <v>238</v>
      </c>
      <c r="B181" s="148" t="s">
        <v>59</v>
      </c>
      <c r="C181" s="150">
        <v>180</v>
      </c>
      <c r="D181" s="74">
        <f t="shared" si="6"/>
        <v>117</v>
      </c>
      <c r="E181" s="74">
        <f t="shared" si="7"/>
        <v>31.499999999999996</v>
      </c>
      <c r="F181" s="74">
        <f t="shared" si="8"/>
        <v>31.499999999999996</v>
      </c>
    </row>
    <row r="182" spans="1:6" x14ac:dyDescent="0.25">
      <c r="A182" s="75" t="s">
        <v>239</v>
      </c>
      <c r="B182" s="148" t="s">
        <v>240</v>
      </c>
      <c r="C182" s="150">
        <v>1997</v>
      </c>
      <c r="D182" s="74">
        <f t="shared" si="6"/>
        <v>1298.05</v>
      </c>
      <c r="E182" s="74">
        <f t="shared" si="7"/>
        <v>349.47499999999997</v>
      </c>
      <c r="F182" s="74">
        <f t="shared" si="8"/>
        <v>349.47499999999997</v>
      </c>
    </row>
    <row r="183" spans="1:6" x14ac:dyDescent="0.25">
      <c r="A183" s="75" t="s">
        <v>241</v>
      </c>
      <c r="B183" s="148" t="s">
        <v>175</v>
      </c>
      <c r="C183" s="151">
        <v>230</v>
      </c>
      <c r="D183" s="76">
        <f t="shared" si="6"/>
        <v>149.5</v>
      </c>
      <c r="E183" s="76">
        <f t="shared" si="7"/>
        <v>40.25</v>
      </c>
      <c r="F183" s="76">
        <f t="shared" si="8"/>
        <v>40.25</v>
      </c>
    </row>
    <row r="184" spans="1:6" x14ac:dyDescent="0.25">
      <c r="A184" s="75" t="s">
        <v>242</v>
      </c>
      <c r="B184" s="148" t="s">
        <v>58</v>
      </c>
      <c r="C184" s="150">
        <v>180</v>
      </c>
      <c r="D184" s="74">
        <f t="shared" si="6"/>
        <v>117</v>
      </c>
      <c r="E184" s="74">
        <f t="shared" si="7"/>
        <v>31.499999999999996</v>
      </c>
      <c r="F184" s="74">
        <f t="shared" si="8"/>
        <v>31.499999999999996</v>
      </c>
    </row>
    <row r="185" spans="1:6" x14ac:dyDescent="0.25">
      <c r="A185" s="75" t="s">
        <v>243</v>
      </c>
      <c r="B185" s="148" t="s">
        <v>59</v>
      </c>
      <c r="C185" s="150">
        <v>138</v>
      </c>
      <c r="D185" s="74">
        <f t="shared" si="6"/>
        <v>89.7</v>
      </c>
      <c r="E185" s="74">
        <f t="shared" si="7"/>
        <v>24.15</v>
      </c>
      <c r="F185" s="74">
        <f t="shared" si="8"/>
        <v>24.15</v>
      </c>
    </row>
    <row r="186" spans="1:6" x14ac:dyDescent="0.25">
      <c r="A186" s="75" t="s">
        <v>244</v>
      </c>
      <c r="B186" s="148" t="s">
        <v>59</v>
      </c>
      <c r="C186" s="150">
        <v>154</v>
      </c>
      <c r="D186" s="74">
        <f t="shared" si="6"/>
        <v>100.10000000000001</v>
      </c>
      <c r="E186" s="74">
        <f t="shared" si="7"/>
        <v>26.95</v>
      </c>
      <c r="F186" s="74">
        <f t="shared" si="8"/>
        <v>26.95</v>
      </c>
    </row>
    <row r="187" spans="1:6" x14ac:dyDescent="0.25">
      <c r="A187" s="75" t="s">
        <v>245</v>
      </c>
      <c r="B187" s="148" t="s">
        <v>58</v>
      </c>
      <c r="C187" s="151">
        <v>250</v>
      </c>
      <c r="D187" s="76">
        <f t="shared" si="6"/>
        <v>162.5</v>
      </c>
      <c r="E187" s="76">
        <f t="shared" si="7"/>
        <v>43.75</v>
      </c>
      <c r="F187" s="76">
        <f t="shared" si="8"/>
        <v>43.75</v>
      </c>
    </row>
    <row r="188" spans="1:6" x14ac:dyDescent="0.25">
      <c r="A188" s="75" t="s">
        <v>246</v>
      </c>
      <c r="B188" s="148" t="s">
        <v>247</v>
      </c>
      <c r="C188" s="150">
        <v>5990</v>
      </c>
      <c r="D188" s="74">
        <f t="shared" si="6"/>
        <v>3893.5</v>
      </c>
      <c r="E188" s="74">
        <f t="shared" si="7"/>
        <v>1048.25</v>
      </c>
      <c r="F188" s="74">
        <f t="shared" si="8"/>
        <v>1048.25</v>
      </c>
    </row>
    <row r="189" spans="1:6" x14ac:dyDescent="0.25">
      <c r="A189" s="75" t="s">
        <v>248</v>
      </c>
      <c r="B189" s="148" t="s">
        <v>59</v>
      </c>
      <c r="C189" s="151">
        <v>135</v>
      </c>
      <c r="D189" s="76">
        <f t="shared" si="6"/>
        <v>87.75</v>
      </c>
      <c r="E189" s="76">
        <f t="shared" si="7"/>
        <v>23.625</v>
      </c>
      <c r="F189" s="76">
        <f t="shared" si="8"/>
        <v>23.625</v>
      </c>
    </row>
    <row r="190" spans="1:6" x14ac:dyDescent="0.25">
      <c r="A190" s="75" t="s">
        <v>249</v>
      </c>
      <c r="B190" s="148" t="s">
        <v>59</v>
      </c>
      <c r="C190" s="150">
        <v>225</v>
      </c>
      <c r="D190" s="74">
        <f t="shared" si="6"/>
        <v>146.25</v>
      </c>
      <c r="E190" s="74">
        <f t="shared" si="7"/>
        <v>39.375</v>
      </c>
      <c r="F190" s="74">
        <f t="shared" si="8"/>
        <v>39.375</v>
      </c>
    </row>
    <row r="191" spans="1:6" x14ac:dyDescent="0.25">
      <c r="A191" s="75" t="s">
        <v>380</v>
      </c>
      <c r="B191" s="148" t="s">
        <v>59</v>
      </c>
      <c r="C191" s="150">
        <v>180</v>
      </c>
      <c r="D191" s="74">
        <f t="shared" si="6"/>
        <v>117</v>
      </c>
      <c r="E191" s="74">
        <f t="shared" si="7"/>
        <v>31.499999999999996</v>
      </c>
      <c r="F191" s="74">
        <f t="shared" si="8"/>
        <v>31.499999999999996</v>
      </c>
    </row>
    <row r="192" spans="1:6" x14ac:dyDescent="0.25">
      <c r="A192" s="75" t="s">
        <v>250</v>
      </c>
      <c r="B192" s="148" t="s">
        <v>251</v>
      </c>
      <c r="C192" s="150">
        <v>5000</v>
      </c>
      <c r="D192" s="74">
        <f t="shared" ref="D192:D202" si="9">C192*0.65</f>
        <v>3250</v>
      </c>
      <c r="E192" s="74">
        <f t="shared" ref="E192:E202" si="10">C192*0.175</f>
        <v>875</v>
      </c>
      <c r="F192" s="74">
        <f t="shared" ref="F192:F202" si="11">C192*0.175</f>
        <v>875</v>
      </c>
    </row>
    <row r="193" spans="1:6" x14ac:dyDescent="0.25">
      <c r="A193" s="75" t="s">
        <v>381</v>
      </c>
      <c r="B193" s="148" t="s">
        <v>59</v>
      </c>
      <c r="C193" s="150">
        <v>150</v>
      </c>
      <c r="D193" s="74">
        <f t="shared" si="9"/>
        <v>97.5</v>
      </c>
      <c r="E193" s="74">
        <f t="shared" si="10"/>
        <v>26.25</v>
      </c>
      <c r="F193" s="74">
        <f t="shared" si="11"/>
        <v>26.25</v>
      </c>
    </row>
    <row r="194" spans="1:6" x14ac:dyDescent="0.25">
      <c r="A194" s="75" t="s">
        <v>382</v>
      </c>
      <c r="B194" s="148" t="s">
        <v>100</v>
      </c>
      <c r="C194" s="150">
        <v>95771</v>
      </c>
      <c r="D194" s="74">
        <f t="shared" si="9"/>
        <v>62251.15</v>
      </c>
      <c r="E194" s="74">
        <f t="shared" si="10"/>
        <v>16759.924999999999</v>
      </c>
      <c r="F194" s="74">
        <f t="shared" si="11"/>
        <v>16759.924999999999</v>
      </c>
    </row>
    <row r="195" spans="1:6" x14ac:dyDescent="0.25">
      <c r="A195" s="75" t="s">
        <v>383</v>
      </c>
      <c r="B195" s="148" t="s">
        <v>100</v>
      </c>
      <c r="C195" s="150">
        <v>82640</v>
      </c>
      <c r="D195" s="74">
        <f t="shared" si="9"/>
        <v>53716</v>
      </c>
      <c r="E195" s="74">
        <f t="shared" si="10"/>
        <v>14461.999999999998</v>
      </c>
      <c r="F195" s="74">
        <f t="shared" si="11"/>
        <v>14461.999999999998</v>
      </c>
    </row>
    <row r="196" spans="1:6" x14ac:dyDescent="0.25">
      <c r="A196" s="75" t="s">
        <v>252</v>
      </c>
      <c r="B196" s="148" t="s">
        <v>128</v>
      </c>
      <c r="C196" s="150">
        <v>402</v>
      </c>
      <c r="D196" s="74">
        <f t="shared" si="9"/>
        <v>261.3</v>
      </c>
      <c r="E196" s="74">
        <f t="shared" si="10"/>
        <v>70.349999999999994</v>
      </c>
      <c r="F196" s="74">
        <f t="shared" si="11"/>
        <v>70.349999999999994</v>
      </c>
    </row>
    <row r="197" spans="1:6" x14ac:dyDescent="0.25">
      <c r="A197" s="75" t="s">
        <v>253</v>
      </c>
      <c r="B197" s="148" t="s">
        <v>58</v>
      </c>
      <c r="C197" s="150">
        <v>267</v>
      </c>
      <c r="D197" s="74">
        <f t="shared" si="9"/>
        <v>173.55</v>
      </c>
      <c r="E197" s="74">
        <f t="shared" si="10"/>
        <v>46.724999999999994</v>
      </c>
      <c r="F197" s="74">
        <f t="shared" si="11"/>
        <v>46.724999999999994</v>
      </c>
    </row>
    <row r="198" spans="1:6" x14ac:dyDescent="0.25">
      <c r="A198" s="75" t="s">
        <v>254</v>
      </c>
      <c r="B198" s="148" t="s">
        <v>59</v>
      </c>
      <c r="C198" s="150">
        <v>125</v>
      </c>
      <c r="D198" s="74">
        <f t="shared" si="9"/>
        <v>81.25</v>
      </c>
      <c r="E198" s="74">
        <f t="shared" si="10"/>
        <v>21.875</v>
      </c>
      <c r="F198" s="74">
        <f t="shared" si="11"/>
        <v>21.875</v>
      </c>
    </row>
    <row r="199" spans="1:6" x14ac:dyDescent="0.25">
      <c r="A199" s="75" t="s">
        <v>255</v>
      </c>
      <c r="B199" s="148" t="s">
        <v>59</v>
      </c>
      <c r="C199" s="150">
        <v>224</v>
      </c>
      <c r="D199" s="74">
        <f t="shared" si="9"/>
        <v>145.6</v>
      </c>
      <c r="E199" s="74">
        <f t="shared" si="10"/>
        <v>39.199999999999996</v>
      </c>
      <c r="F199" s="74">
        <f t="shared" si="11"/>
        <v>39.199999999999996</v>
      </c>
    </row>
    <row r="200" spans="1:6" x14ac:dyDescent="0.25">
      <c r="A200" s="75" t="s">
        <v>256</v>
      </c>
      <c r="B200" s="148" t="s">
        <v>59</v>
      </c>
      <c r="C200" s="150">
        <v>135</v>
      </c>
      <c r="D200" s="74">
        <f t="shared" si="9"/>
        <v>87.75</v>
      </c>
      <c r="E200" s="74">
        <f t="shared" si="10"/>
        <v>23.625</v>
      </c>
      <c r="F200" s="74">
        <f t="shared" si="11"/>
        <v>23.625</v>
      </c>
    </row>
    <row r="201" spans="1:6" x14ac:dyDescent="0.25">
      <c r="A201" s="75" t="s">
        <v>257</v>
      </c>
      <c r="B201" s="148" t="s">
        <v>73</v>
      </c>
      <c r="C201" s="150">
        <v>254</v>
      </c>
      <c r="D201" s="74">
        <f t="shared" si="9"/>
        <v>165.1</v>
      </c>
      <c r="E201" s="74">
        <f t="shared" si="10"/>
        <v>44.449999999999996</v>
      </c>
      <c r="F201" s="74">
        <f t="shared" si="11"/>
        <v>44.449999999999996</v>
      </c>
    </row>
    <row r="202" spans="1:6" x14ac:dyDescent="0.25">
      <c r="A202" s="75" t="s">
        <v>258</v>
      </c>
      <c r="B202" s="148" t="s">
        <v>59</v>
      </c>
      <c r="C202" s="150">
        <v>208</v>
      </c>
      <c r="D202" s="74">
        <f t="shared" si="9"/>
        <v>135.20000000000002</v>
      </c>
      <c r="E202" s="74">
        <f t="shared" si="10"/>
        <v>36.4</v>
      </c>
      <c r="F202" s="74">
        <f t="shared" si="11"/>
        <v>36.4</v>
      </c>
    </row>
    <row r="203" spans="1:6" x14ac:dyDescent="0.25">
      <c r="A203" s="75" t="s">
        <v>259</v>
      </c>
      <c r="B203" s="148" t="s">
        <v>58</v>
      </c>
      <c r="C203" s="150">
        <v>135</v>
      </c>
      <c r="D203" s="74">
        <f t="shared" ref="D203:D209" si="12">C203*0.65</f>
        <v>87.75</v>
      </c>
      <c r="E203" s="74">
        <f t="shared" ref="E203:E209" si="13">C203*0.175</f>
        <v>23.625</v>
      </c>
      <c r="F203" s="74">
        <f t="shared" ref="F203:F209" si="14">C203*0.175</f>
        <v>23.625</v>
      </c>
    </row>
    <row r="204" spans="1:6" x14ac:dyDescent="0.25">
      <c r="A204" s="75" t="s">
        <v>260</v>
      </c>
      <c r="B204" s="148" t="s">
        <v>59</v>
      </c>
      <c r="C204" s="150">
        <v>210</v>
      </c>
      <c r="D204" s="74">
        <f t="shared" si="12"/>
        <v>136.5</v>
      </c>
      <c r="E204" s="74">
        <f t="shared" si="13"/>
        <v>36.75</v>
      </c>
      <c r="F204" s="74">
        <f t="shared" si="14"/>
        <v>36.75</v>
      </c>
    </row>
    <row r="205" spans="1:6" x14ac:dyDescent="0.25">
      <c r="A205" s="75" t="s">
        <v>261</v>
      </c>
      <c r="B205" s="148" t="s">
        <v>59</v>
      </c>
      <c r="C205" s="150">
        <v>195</v>
      </c>
      <c r="D205" s="74">
        <f t="shared" si="12"/>
        <v>126.75</v>
      </c>
      <c r="E205" s="74">
        <f t="shared" si="13"/>
        <v>34.125</v>
      </c>
      <c r="F205" s="74">
        <f t="shared" si="14"/>
        <v>34.125</v>
      </c>
    </row>
    <row r="206" spans="1:6" x14ac:dyDescent="0.25">
      <c r="A206" s="75" t="s">
        <v>262</v>
      </c>
      <c r="B206" s="148" t="s">
        <v>59</v>
      </c>
      <c r="C206" s="150">
        <v>158</v>
      </c>
      <c r="D206" s="74">
        <f t="shared" si="12"/>
        <v>102.7</v>
      </c>
      <c r="E206" s="74">
        <f t="shared" si="13"/>
        <v>27.65</v>
      </c>
      <c r="F206" s="74">
        <f t="shared" si="14"/>
        <v>27.65</v>
      </c>
    </row>
    <row r="207" spans="1:6" x14ac:dyDescent="0.25">
      <c r="A207" s="75" t="s">
        <v>263</v>
      </c>
      <c r="B207" s="148" t="s">
        <v>59</v>
      </c>
      <c r="C207" s="150">
        <v>188</v>
      </c>
      <c r="D207" s="74">
        <f t="shared" si="12"/>
        <v>122.2</v>
      </c>
      <c r="E207" s="74">
        <f t="shared" si="13"/>
        <v>32.9</v>
      </c>
      <c r="F207" s="74">
        <f t="shared" si="14"/>
        <v>32.9</v>
      </c>
    </row>
    <row r="208" spans="1:6" x14ac:dyDescent="0.25">
      <c r="A208" s="75" t="s">
        <v>264</v>
      </c>
      <c r="B208" s="148" t="s">
        <v>59</v>
      </c>
      <c r="C208" s="150">
        <v>180</v>
      </c>
      <c r="D208" s="74">
        <f t="shared" si="12"/>
        <v>117</v>
      </c>
      <c r="E208" s="74">
        <f t="shared" si="13"/>
        <v>31.499999999999996</v>
      </c>
      <c r="F208" s="74">
        <f t="shared" si="14"/>
        <v>31.499999999999996</v>
      </c>
    </row>
    <row r="209" spans="1:6" ht="15.75" thickBot="1" x14ac:dyDescent="0.3">
      <c r="A209" s="79" t="s">
        <v>265</v>
      </c>
      <c r="B209" s="149" t="s">
        <v>58</v>
      </c>
      <c r="C209" s="152">
        <v>180</v>
      </c>
      <c r="D209" s="80">
        <f t="shared" si="12"/>
        <v>117</v>
      </c>
      <c r="E209" s="80">
        <f t="shared" si="13"/>
        <v>31.499999999999996</v>
      </c>
      <c r="F209" s="80">
        <f t="shared" si="14"/>
        <v>31.499999999999996</v>
      </c>
    </row>
    <row r="210" spans="1:6" x14ac:dyDescent="0.25"/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27</vt:i4>
      </vt:variant>
    </vt:vector>
  </HeadingPairs>
  <TitlesOfParts>
    <vt:vector size="30" baseType="lpstr">
      <vt:lpstr>DEMANDE DE MISSION</vt:lpstr>
      <vt:lpstr>DECLARATION FRAIS MISSION</vt:lpstr>
      <vt:lpstr>IJ</vt:lpstr>
      <vt:lpstr>AVANCE</vt:lpstr>
      <vt:lpstr>BASE_IJ</vt:lpstr>
      <vt:lpstr>CENTRE_FINANCIER</vt:lpstr>
      <vt:lpstr>DATE_DEBUT</vt:lpstr>
      <vt:lpstr>DATE_FIN</vt:lpstr>
      <vt:lpstr>DESTINATION_MISSION</vt:lpstr>
      <vt:lpstr>HEURE_DEPART</vt:lpstr>
      <vt:lpstr>HEURE_RETOUR</vt:lpstr>
      <vt:lpstr>IJ_ETRANGER</vt:lpstr>
      <vt:lpstr>LISTE_PAYS</vt:lpstr>
      <vt:lpstr>MONTANT_AVANCE</vt:lpstr>
      <vt:lpstr>MOTIF_MISSION</vt:lpstr>
      <vt:lpstr>NOM_AGENT</vt:lpstr>
      <vt:lpstr>NUM_OMP</vt:lpstr>
      <vt:lpstr>PAYS</vt:lpstr>
      <vt:lpstr>PRENOM_AGENT</vt:lpstr>
      <vt:lpstr>RESIDENCE_DEPART</vt:lpstr>
      <vt:lpstr>RESIDENCE_RETOUR</vt:lpstr>
      <vt:lpstr>SCHEMA_MISSION</vt:lpstr>
      <vt:lpstr>TOTAL_AUTRES_FRAIS</vt:lpstr>
      <vt:lpstr>TOTAL_NUIT</vt:lpstr>
      <vt:lpstr>TOTAL_REPAS</vt:lpstr>
      <vt:lpstr>TOTAL_TC</vt:lpstr>
      <vt:lpstr>TOTAL_VEHICULE</vt:lpstr>
      <vt:lpstr>TYPE_MISSION</vt:lpstr>
      <vt:lpstr>VERSION_FICHIER</vt:lpstr>
      <vt:lpstr>'DEMANDE DE MISSION'!Zone_d_impression</vt:lpstr>
    </vt:vector>
  </TitlesOfParts>
  <Manager>PM PANIGONI</Manager>
  <Company>Ifsttar - Pôle Gestion Bron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Réalisation de Déplacement - Déclaration de Frais de Missions</dc:title>
  <dc:creator>PM PANIGONI</dc:creator>
  <cp:lastModifiedBy>Sophie ECHIVARD</cp:lastModifiedBy>
  <cp:revision>1</cp:revision>
  <cp:lastPrinted>2026-01-14T14:55:00Z</cp:lastPrinted>
  <dcterms:created xsi:type="dcterms:W3CDTF">2013-03-15T10:21:07Z</dcterms:created>
  <dcterms:modified xsi:type="dcterms:W3CDTF">2026-01-14T14:58:32Z</dcterms:modified>
  <cp:version>2</cp:version>
</cp:coreProperties>
</file>